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R:\Referat_503\NRL_GVO\06 EURL_Zusammenarbeit\WG Method verification update\Final\"/>
    </mc:Choice>
  </mc:AlternateContent>
  <bookViews>
    <workbookView xWindow="-30" yWindow="-30" windowWidth="15180" windowHeight="12405" tabRatio="763"/>
  </bookViews>
  <sheets>
    <sheet name="Legend+Explanations" sheetId="14" r:id="rId1"/>
    <sheet name="Report" sheetId="1" r:id="rId2"/>
    <sheet name="Dilution series A" sheetId="2" r:id="rId3"/>
    <sheet name="Dilution series B" sheetId="3" r:id="rId4"/>
    <sheet name="Dilution series C" sheetId="12" r:id="rId5"/>
    <sheet name="Dilution of samples " sheetId="6" r:id="rId6"/>
    <sheet name="Plate layout A “LOD_LOQ”" sheetId="11" r:id="rId7"/>
    <sheet name="Plate layout B “Trueness”" sheetId="16" r:id="rId8"/>
    <sheet name="Plate layout C “Trueness”" sheetId="5" r:id="rId9"/>
    <sheet name="Comments" sheetId="4" r:id="rId10"/>
  </sheets>
  <definedNames>
    <definedName name="_xlnm.Print_Area" localSheetId="9">Comments!$A$1:$K$36</definedName>
    <definedName name="_xlnm.Print_Area" localSheetId="5">'Dilution of samples '!$A$1:$P$26</definedName>
    <definedName name="_xlnm.Print_Area" localSheetId="0">'Legend+Explanations'!$A$1:$M$66</definedName>
    <definedName name="_xlnm.Print_Area" localSheetId="6">'Plate layout A “LOD_LOQ”'!$A$1:$Q$40</definedName>
    <definedName name="_xlnm.Print_Area" localSheetId="7">'Plate layout B “Trueness”'!$A$1:$W$47</definedName>
    <definedName name="_xlnm.Print_Area" localSheetId="8">'Plate layout C “Trueness”'!$A$1:$W$47</definedName>
    <definedName name="_xlnm.Print_Area" localSheetId="1">Report!$A$1:$AG$53,Report!$AQ$1:$BS$53</definedName>
  </definedNames>
  <calcPr calcId="152511"/>
</workbook>
</file>

<file path=xl/calcChain.xml><?xml version="1.0" encoding="utf-8"?>
<calcChain xmlns="http://schemas.openxmlformats.org/spreadsheetml/2006/main">
  <c r="AD17" i="1" l="1"/>
  <c r="B45" i="6" l="1"/>
  <c r="B40" i="6" l="1"/>
  <c r="E50" i="1" l="1"/>
  <c r="BH39" i="1" l="1"/>
  <c r="BH14" i="1"/>
  <c r="BH4" i="1"/>
  <c r="C37" i="1" l="1"/>
  <c r="BN31" i="1"/>
  <c r="BR41" i="1"/>
  <c r="BJ41" i="1"/>
  <c r="BR31" i="1"/>
  <c r="BJ31" i="1"/>
  <c r="BR16" i="1"/>
  <c r="BJ16" i="1"/>
  <c r="BR6" i="1"/>
  <c r="BJ6" i="1"/>
  <c r="BN41" i="1"/>
  <c r="BF41" i="1"/>
  <c r="BF31" i="1"/>
  <c r="BN16" i="1"/>
  <c r="BN6" i="1"/>
  <c r="BF16" i="1"/>
  <c r="BF6" i="1"/>
  <c r="C36" i="1"/>
  <c r="O22" i="5" l="1"/>
  <c r="O10" i="5"/>
  <c r="A1" i="4" l="1"/>
  <c r="C14" i="12"/>
  <c r="C14" i="3"/>
  <c r="D15" i="3"/>
  <c r="C14" i="2"/>
  <c r="S46" i="5" l="1"/>
  <c r="S46" i="16"/>
  <c r="S23" i="16"/>
  <c r="C39" i="11"/>
  <c r="C28" i="6"/>
  <c r="C21" i="6" l="1"/>
  <c r="D26" i="6"/>
  <c r="D21" i="6"/>
  <c r="D22" i="6"/>
  <c r="D23" i="6"/>
  <c r="D24" i="6"/>
  <c r="D25" i="6"/>
  <c r="D20" i="6"/>
  <c r="D18" i="6"/>
  <c r="M37" i="5"/>
  <c r="K37" i="5"/>
  <c r="I37" i="5"/>
  <c r="M35" i="5"/>
  <c r="K35" i="5"/>
  <c r="I35" i="5"/>
  <c r="O34" i="5"/>
  <c r="M34" i="5"/>
  <c r="K34" i="5"/>
  <c r="I34" i="5"/>
  <c r="O33" i="5"/>
  <c r="M33" i="5"/>
  <c r="K33" i="5"/>
  <c r="I33" i="5"/>
  <c r="O32" i="5"/>
  <c r="M32" i="5"/>
  <c r="K32" i="5"/>
  <c r="I32" i="5"/>
  <c r="K34" i="16"/>
  <c r="M37" i="16"/>
  <c r="M35" i="16"/>
  <c r="M34" i="16"/>
  <c r="M33" i="16"/>
  <c r="M32" i="16"/>
  <c r="K35" i="16"/>
  <c r="K33" i="16"/>
  <c r="K32" i="16"/>
  <c r="O34" i="16"/>
  <c r="O33" i="16"/>
  <c r="O32" i="16"/>
  <c r="I35" i="16"/>
  <c r="I33" i="16"/>
  <c r="I34" i="16"/>
  <c r="I32" i="16"/>
  <c r="K37" i="16" l="1"/>
  <c r="I37" i="16"/>
  <c r="C18" i="6"/>
  <c r="C20" i="6"/>
  <c r="A26" i="6"/>
  <c r="A25" i="6"/>
  <c r="A24" i="6"/>
  <c r="A23" i="6"/>
  <c r="A22" i="6"/>
  <c r="A21" i="6"/>
  <c r="A20" i="6"/>
  <c r="B2" i="6"/>
  <c r="D15" i="12"/>
  <c r="D15" i="2"/>
  <c r="R39" i="5" l="1"/>
  <c r="C1" i="5"/>
  <c r="C1" i="16"/>
  <c r="B1" i="11"/>
  <c r="B2" i="12"/>
  <c r="B2" i="3"/>
  <c r="B2" i="2"/>
  <c r="J25" i="1"/>
  <c r="C25" i="1"/>
  <c r="R39" i="16" l="1"/>
  <c r="O20" i="5"/>
  <c r="O12" i="5"/>
  <c r="C27" i="5"/>
  <c r="O14" i="5"/>
  <c r="O16" i="5"/>
  <c r="O18" i="5"/>
  <c r="S32" i="5" l="1"/>
  <c r="S33" i="5"/>
  <c r="S34" i="5"/>
  <c r="R33" i="5"/>
  <c r="R34" i="5"/>
  <c r="R32" i="5"/>
  <c r="S40" i="16"/>
  <c r="T40" i="16" s="1"/>
  <c r="S47" i="16"/>
  <c r="S39" i="16" s="1"/>
  <c r="B33" i="11"/>
  <c r="B35" i="11"/>
  <c r="B34" i="11"/>
  <c r="S41" i="5"/>
  <c r="T41" i="5" s="1"/>
  <c r="S42" i="5"/>
  <c r="T42" i="5" s="1"/>
  <c r="S40" i="5"/>
  <c r="T40" i="5" s="1"/>
  <c r="S18" i="5"/>
  <c r="T18" i="5" s="1"/>
  <c r="S19" i="5"/>
  <c r="S17" i="5"/>
  <c r="T17" i="5" s="1"/>
  <c r="S5" i="5"/>
  <c r="S6" i="5"/>
  <c r="S7" i="5"/>
  <c r="R6" i="5"/>
  <c r="R7" i="5"/>
  <c r="R5" i="5"/>
  <c r="S32" i="16"/>
  <c r="S33" i="16"/>
  <c r="S34" i="16"/>
  <c r="R33" i="16"/>
  <c r="R34" i="16"/>
  <c r="R32" i="16"/>
  <c r="S41" i="16"/>
  <c r="T41" i="16" s="1"/>
  <c r="S42" i="16"/>
  <c r="T42" i="16" s="1"/>
  <c r="E36" i="6"/>
  <c r="E34" i="6"/>
  <c r="Q5" i="16"/>
  <c r="Q6" i="16"/>
  <c r="Q7" i="16"/>
  <c r="Q32" i="16"/>
  <c r="Q33" i="16"/>
  <c r="Q34" i="16"/>
  <c r="A26" i="11"/>
  <c r="A25" i="11"/>
  <c r="A24" i="11"/>
  <c r="R42" i="16"/>
  <c r="R41" i="16"/>
  <c r="R40" i="16"/>
  <c r="R37" i="16"/>
  <c r="R29" i="16" s="1"/>
  <c r="S24" i="16"/>
  <c r="C27" i="16"/>
  <c r="T19" i="16"/>
  <c r="R19" i="16"/>
  <c r="T18" i="16"/>
  <c r="R18" i="16"/>
  <c r="T17" i="16"/>
  <c r="R17" i="16"/>
  <c r="R15" i="16"/>
  <c r="R10" i="16"/>
  <c r="R2" i="16" s="1"/>
  <c r="E32" i="6"/>
  <c r="E33" i="6"/>
  <c r="E35" i="6"/>
  <c r="E37" i="6"/>
  <c r="E38" i="6"/>
  <c r="E39" i="6"/>
  <c r="E40" i="6"/>
  <c r="E41" i="6"/>
  <c r="E42" i="6"/>
  <c r="E43" i="6"/>
  <c r="E31" i="6"/>
  <c r="B33" i="6"/>
  <c r="B34" i="6"/>
  <c r="B35" i="6"/>
  <c r="B36" i="6"/>
  <c r="B37" i="6"/>
  <c r="B38" i="6"/>
  <c r="B39" i="6"/>
  <c r="B41" i="6"/>
  <c r="B42" i="6"/>
  <c r="B43" i="6"/>
  <c r="B44" i="6"/>
  <c r="B46" i="6"/>
  <c r="B47" i="6"/>
  <c r="B48" i="6"/>
  <c r="B49" i="6"/>
  <c r="B50" i="6"/>
  <c r="B51" i="6"/>
  <c r="B52" i="6"/>
  <c r="B32" i="6"/>
  <c r="M20" i="6"/>
  <c r="I20" i="6" s="1"/>
  <c r="E26" i="6"/>
  <c r="E25" i="6"/>
  <c r="E24" i="6"/>
  <c r="E23" i="6"/>
  <c r="E22" i="6"/>
  <c r="E21" i="6"/>
  <c r="E20" i="6"/>
  <c r="E9" i="6"/>
  <c r="C22" i="6"/>
  <c r="C23" i="6"/>
  <c r="C24" i="6"/>
  <c r="C25" i="6"/>
  <c r="C26" i="6"/>
  <c r="D7" i="6"/>
  <c r="M25" i="6"/>
  <c r="I25" i="6" s="1"/>
  <c r="M24" i="6"/>
  <c r="I24" i="6" s="1"/>
  <c r="M23" i="6"/>
  <c r="I23" i="6" s="1"/>
  <c r="M26" i="6"/>
  <c r="I26" i="6" s="1"/>
  <c r="M22" i="6"/>
  <c r="I22" i="6" s="1"/>
  <c r="M21" i="6"/>
  <c r="I21" i="6" s="1"/>
  <c r="D26" i="3"/>
  <c r="J26" i="3" s="1"/>
  <c r="C9" i="2"/>
  <c r="C22" i="2" s="1"/>
  <c r="D22" i="2" s="1"/>
  <c r="AO16" i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R16" i="1"/>
  <c r="R32" i="1" s="1"/>
  <c r="R15" i="1"/>
  <c r="AN15" i="1" s="1"/>
  <c r="R14" i="1"/>
  <c r="J15" i="11" s="1"/>
  <c r="R13" i="1"/>
  <c r="AN13" i="1" s="1"/>
  <c r="R12" i="1"/>
  <c r="R28" i="1" s="1"/>
  <c r="AI16" i="1"/>
  <c r="AI15" i="1"/>
  <c r="AI14" i="1"/>
  <c r="AI13" i="1"/>
  <c r="AI12" i="1"/>
  <c r="AL12" i="1" s="1"/>
  <c r="AS9" i="1"/>
  <c r="AQ9" i="1" s="1"/>
  <c r="B8" i="2"/>
  <c r="B7" i="2"/>
  <c r="B8" i="12"/>
  <c r="B7" i="12"/>
  <c r="B8" i="3"/>
  <c r="B7" i="3"/>
  <c r="BH29" i="1"/>
  <c r="R17" i="1"/>
  <c r="AC17" i="1" s="1"/>
  <c r="D25" i="3"/>
  <c r="J25" i="3" s="1"/>
  <c r="AS12" i="1"/>
  <c r="AS13" i="1" s="1"/>
  <c r="D30" i="2"/>
  <c r="J30" i="2" s="1"/>
  <c r="D29" i="2"/>
  <c r="J29" i="2" s="1"/>
  <c r="D28" i="2"/>
  <c r="J28" i="2" s="1"/>
  <c r="D27" i="2"/>
  <c r="J27" i="2" s="1"/>
  <c r="D26" i="2"/>
  <c r="J26" i="2" s="1"/>
  <c r="D25" i="2"/>
  <c r="J25" i="2" s="1"/>
  <c r="D14" i="2"/>
  <c r="F26" i="2" s="1"/>
  <c r="J22" i="2"/>
  <c r="C16" i="2"/>
  <c r="D16" i="2" s="1"/>
  <c r="G15" i="1"/>
  <c r="K10" i="6" s="1"/>
  <c r="G14" i="1"/>
  <c r="K9" i="6" s="1"/>
  <c r="K14" i="1"/>
  <c r="K11" i="6" s="1"/>
  <c r="K15" i="1"/>
  <c r="K12" i="6" s="1"/>
  <c r="N9" i="6"/>
  <c r="M9" i="6" s="1"/>
  <c r="C14" i="6"/>
  <c r="E10" i="6"/>
  <c r="N10" i="6"/>
  <c r="M10" i="6" s="1"/>
  <c r="C9" i="3"/>
  <c r="D22" i="3"/>
  <c r="C9" i="12"/>
  <c r="D25" i="12"/>
  <c r="J25" i="12" s="1"/>
  <c r="D23" i="12"/>
  <c r="J23" i="12" s="1"/>
  <c r="D22" i="12"/>
  <c r="R40" i="5"/>
  <c r="D14" i="3"/>
  <c r="N26" i="3" s="1"/>
  <c r="J22" i="3"/>
  <c r="J22" i="12"/>
  <c r="D14" i="12"/>
  <c r="F25" i="12" s="1"/>
  <c r="C16" i="12"/>
  <c r="D16" i="12" s="1"/>
  <c r="C16" i="3"/>
  <c r="D16" i="3" s="1"/>
  <c r="D33" i="11"/>
  <c r="D34" i="11"/>
  <c r="C40" i="11"/>
  <c r="D35" i="11"/>
  <c r="S47" i="5"/>
  <c r="S24" i="5"/>
  <c r="S15" i="5" s="1"/>
  <c r="T15" i="5" s="1"/>
  <c r="S23" i="5"/>
  <c r="N11" i="6"/>
  <c r="M11" i="6" s="1"/>
  <c r="E11" i="6"/>
  <c r="N12" i="6"/>
  <c r="M12" i="6" s="1"/>
  <c r="E12" i="6"/>
  <c r="C11" i="2"/>
  <c r="C10" i="3"/>
  <c r="D43" i="1"/>
  <c r="E43" i="1" s="1"/>
  <c r="D42" i="1"/>
  <c r="E42" i="1" s="1"/>
  <c r="L4" i="11"/>
  <c r="D12" i="6"/>
  <c r="D11" i="6"/>
  <c r="D10" i="6"/>
  <c r="D9" i="6"/>
  <c r="C7" i="12"/>
  <c r="R42" i="5"/>
  <c r="R19" i="5"/>
  <c r="R41" i="5"/>
  <c r="R18" i="5"/>
  <c r="R17" i="5"/>
  <c r="R15" i="5"/>
  <c r="Q34" i="5"/>
  <c r="Q7" i="5"/>
  <c r="Q33" i="5"/>
  <c r="Q6" i="5"/>
  <c r="Q32" i="5"/>
  <c r="Q5" i="5"/>
  <c r="B32" i="11"/>
  <c r="C8" i="12"/>
  <c r="C8" i="3"/>
  <c r="C7" i="3"/>
  <c r="I11" i="11"/>
  <c r="I12" i="11"/>
  <c r="I13" i="11"/>
  <c r="I14" i="11"/>
  <c r="I15" i="11"/>
  <c r="I16" i="11"/>
  <c r="I17" i="11"/>
  <c r="I18" i="11"/>
  <c r="I10" i="11"/>
  <c r="C8" i="2"/>
  <c r="C7" i="2"/>
  <c r="BI39" i="1"/>
  <c r="BI29" i="1"/>
  <c r="BO27" i="1"/>
  <c r="BI14" i="1"/>
  <c r="BI4" i="1"/>
  <c r="BO2" i="1"/>
  <c r="C11" i="12"/>
  <c r="R37" i="5"/>
  <c r="R29" i="5" s="1"/>
  <c r="C11" i="3"/>
  <c r="K2" i="1"/>
  <c r="B30" i="11"/>
  <c r="B21" i="11" s="1"/>
  <c r="R10" i="5"/>
  <c r="R2" i="5" s="1"/>
  <c r="C10" i="12"/>
  <c r="C10" i="2"/>
  <c r="C23" i="2"/>
  <c r="R10" i="1" s="1"/>
  <c r="AX9" i="1" l="1"/>
  <c r="BC9" i="1" s="1"/>
  <c r="R9" i="1"/>
  <c r="AN4" i="1" s="1"/>
  <c r="C25" i="3"/>
  <c r="C26" i="3"/>
  <c r="C22" i="3"/>
  <c r="C22" i="12"/>
  <c r="C26" i="12"/>
  <c r="C25" i="12"/>
  <c r="D23" i="3"/>
  <c r="J23" i="3" s="1"/>
  <c r="AS18" i="1"/>
  <c r="AS10" i="1"/>
  <c r="AS21" i="1"/>
  <c r="D26" i="12"/>
  <c r="J26" i="12" s="1"/>
  <c r="AS11" i="1"/>
  <c r="D23" i="2"/>
  <c r="J23" i="2" s="1"/>
  <c r="T34" i="5"/>
  <c r="U34" i="5" s="1"/>
  <c r="V34" i="5" s="1"/>
  <c r="S15" i="16"/>
  <c r="T15" i="16" s="1"/>
  <c r="T5" i="16"/>
  <c r="U5" i="16" s="1"/>
  <c r="V5" i="16" s="1"/>
  <c r="T7" i="16"/>
  <c r="U7" i="16" s="1"/>
  <c r="V7" i="16" s="1"/>
  <c r="T6" i="16"/>
  <c r="AN12" i="1"/>
  <c r="F22" i="2"/>
  <c r="AC16" i="1"/>
  <c r="AN16" i="1"/>
  <c r="J14" i="11"/>
  <c r="F29" i="2"/>
  <c r="R29" i="1"/>
  <c r="F23" i="2"/>
  <c r="F28" i="2"/>
  <c r="J18" i="11"/>
  <c r="AC13" i="1"/>
  <c r="F30" i="2"/>
  <c r="F20" i="6"/>
  <c r="H20" i="6" s="1"/>
  <c r="F21" i="6"/>
  <c r="J17" i="11"/>
  <c r="AC12" i="1"/>
  <c r="AL15" i="1"/>
  <c r="F24" i="6"/>
  <c r="H24" i="6" s="1"/>
  <c r="AN14" i="1"/>
  <c r="AL13" i="1"/>
  <c r="AL14" i="1"/>
  <c r="AQ12" i="1"/>
  <c r="AX12" i="1"/>
  <c r="BC12" i="1" s="1"/>
  <c r="AS14" i="1"/>
  <c r="AQ13" i="1"/>
  <c r="AX13" i="1"/>
  <c r="BC13" i="1" s="1"/>
  <c r="AC14" i="1"/>
  <c r="AL16" i="1"/>
  <c r="F26" i="3"/>
  <c r="F24" i="12"/>
  <c r="F26" i="12"/>
  <c r="F25" i="3"/>
  <c r="F22" i="12"/>
  <c r="F24" i="3"/>
  <c r="D17" i="12"/>
  <c r="P22" i="12" s="1"/>
  <c r="H21" i="6"/>
  <c r="I10" i="6"/>
  <c r="F10" i="6" s="1"/>
  <c r="H10" i="6" s="1"/>
  <c r="J13" i="11"/>
  <c r="AC15" i="1"/>
  <c r="F22" i="6"/>
  <c r="H22" i="6" s="1"/>
  <c r="F25" i="6"/>
  <c r="H25" i="6" s="1"/>
  <c r="F26" i="6"/>
  <c r="H26" i="6" s="1"/>
  <c r="F23" i="12"/>
  <c r="N26" i="12"/>
  <c r="O26" i="12" s="1"/>
  <c r="I11" i="6"/>
  <c r="F11" i="6" s="1"/>
  <c r="H11" i="6" s="1"/>
  <c r="F23" i="6"/>
  <c r="H23" i="6" s="1"/>
  <c r="D24" i="11"/>
  <c r="E24" i="11" s="1"/>
  <c r="F24" i="11" s="1"/>
  <c r="D26" i="11"/>
  <c r="E26" i="11" s="1"/>
  <c r="F26" i="11" s="1"/>
  <c r="D25" i="11"/>
  <c r="E25" i="11" s="1"/>
  <c r="F25" i="11" s="1"/>
  <c r="I12" i="6"/>
  <c r="F12" i="6" s="1"/>
  <c r="H12" i="6" s="1"/>
  <c r="T32" i="5"/>
  <c r="U32" i="5" s="1"/>
  <c r="V32" i="5" s="1"/>
  <c r="O26" i="3"/>
  <c r="I9" i="6"/>
  <c r="F9" i="6" s="1"/>
  <c r="H9" i="6" s="1"/>
  <c r="C32" i="11"/>
  <c r="C36" i="11" s="1"/>
  <c r="D36" i="11" s="1"/>
  <c r="H26" i="3"/>
  <c r="N25" i="3" s="1"/>
  <c r="N30" i="2"/>
  <c r="R31" i="1"/>
  <c r="F27" i="2"/>
  <c r="F25" i="2"/>
  <c r="F24" i="2"/>
  <c r="D17" i="2"/>
  <c r="P22" i="2" s="1"/>
  <c r="R30" i="1"/>
  <c r="D17" i="3"/>
  <c r="P22" i="3" s="1"/>
  <c r="F22" i="3"/>
  <c r="F23" i="3"/>
  <c r="J16" i="11"/>
  <c r="T34" i="16"/>
  <c r="U34" i="16" s="1"/>
  <c r="V34" i="16" s="1"/>
  <c r="AN7" i="1"/>
  <c r="R26" i="1"/>
  <c r="AC10" i="1"/>
  <c r="AN6" i="1"/>
  <c r="AN8" i="1"/>
  <c r="J11" i="11"/>
  <c r="C24" i="2"/>
  <c r="T33" i="5"/>
  <c r="U33" i="5" s="1"/>
  <c r="V33" i="5" s="1"/>
  <c r="S39" i="5"/>
  <c r="T39" i="5" s="1"/>
  <c r="U6" i="16"/>
  <c r="V6" i="16" s="1"/>
  <c r="T33" i="16"/>
  <c r="U33" i="16" s="1"/>
  <c r="V33" i="16" s="1"/>
  <c r="S20" i="16"/>
  <c r="T20" i="16" s="1"/>
  <c r="T21" i="16" s="1"/>
  <c r="T7" i="5"/>
  <c r="U7" i="5" s="1"/>
  <c r="V7" i="5" s="1"/>
  <c r="T6" i="5"/>
  <c r="U6" i="5" s="1"/>
  <c r="V6" i="5" s="1"/>
  <c r="T19" i="5"/>
  <c r="T5" i="5"/>
  <c r="U5" i="5" s="1"/>
  <c r="V5" i="5" s="1"/>
  <c r="S20" i="5"/>
  <c r="T20" i="5" s="1"/>
  <c r="T32" i="16"/>
  <c r="U32" i="16" s="1"/>
  <c r="V32" i="16" s="1"/>
  <c r="T39" i="16"/>
  <c r="S43" i="16"/>
  <c r="T43" i="16" s="1"/>
  <c r="J10" i="11" l="1"/>
  <c r="AN5" i="1"/>
  <c r="AJ30" i="1"/>
  <c r="R25" i="1"/>
  <c r="AN3" i="1"/>
  <c r="AC9" i="1"/>
  <c r="C23" i="3"/>
  <c r="C23" i="12"/>
  <c r="AS19" i="1"/>
  <c r="AQ18" i="1"/>
  <c r="AS20" i="1"/>
  <c r="AX20" i="1" s="1"/>
  <c r="BC20" i="1" s="1"/>
  <c r="D24" i="3"/>
  <c r="C24" i="3" s="1"/>
  <c r="AS15" i="1"/>
  <c r="D24" i="12"/>
  <c r="C24" i="12" s="1"/>
  <c r="AX18" i="1"/>
  <c r="BC18" i="1" s="1"/>
  <c r="AC19" i="1"/>
  <c r="D51" i="1" s="1"/>
  <c r="E51" i="1" s="1"/>
  <c r="AQ11" i="1"/>
  <c r="AX11" i="1"/>
  <c r="BC11" i="1" s="1"/>
  <c r="R11" i="1"/>
  <c r="AN10" i="1" s="1"/>
  <c r="D24" i="2"/>
  <c r="J24" i="2" s="1"/>
  <c r="AX21" i="1"/>
  <c r="BC21" i="1" s="1"/>
  <c r="AQ21" i="1"/>
  <c r="AS23" i="1"/>
  <c r="AS22" i="1"/>
  <c r="AX10" i="1"/>
  <c r="BC10" i="1" s="1"/>
  <c r="AQ10" i="1"/>
  <c r="AQ14" i="1"/>
  <c r="AX14" i="1"/>
  <c r="BC14" i="1" s="1"/>
  <c r="H26" i="12"/>
  <c r="N25" i="12" s="1"/>
  <c r="S21" i="16"/>
  <c r="D32" i="11"/>
  <c r="D37" i="11" s="1"/>
  <c r="C37" i="11"/>
  <c r="T44" i="16"/>
  <c r="H30" i="2"/>
  <c r="N29" i="2" s="1"/>
  <c r="O30" i="2"/>
  <c r="O25" i="3"/>
  <c r="L26" i="3"/>
  <c r="S43" i="5"/>
  <c r="T21" i="5"/>
  <c r="S21" i="5"/>
  <c r="S44" i="16"/>
  <c r="J12" i="11" l="1"/>
  <c r="AN9" i="1"/>
  <c r="H25" i="12"/>
  <c r="N24" i="12" s="1"/>
  <c r="H24" i="12" s="1"/>
  <c r="N23" i="12" s="1"/>
  <c r="O23" i="12" s="1"/>
  <c r="AQ19" i="1"/>
  <c r="AX19" i="1"/>
  <c r="BC19" i="1" s="1"/>
  <c r="AQ20" i="1"/>
  <c r="AS16" i="1"/>
  <c r="AQ15" i="1"/>
  <c r="AX15" i="1"/>
  <c r="BC15" i="1" s="1"/>
  <c r="AS17" i="1"/>
  <c r="J24" i="3"/>
  <c r="J24" i="12"/>
  <c r="H25" i="3"/>
  <c r="AQ23" i="1"/>
  <c r="AX23" i="1"/>
  <c r="BC23" i="1" s="1"/>
  <c r="AC11" i="1"/>
  <c r="AX22" i="1"/>
  <c r="BC22" i="1" s="1"/>
  <c r="AQ22" i="1"/>
  <c r="R27" i="1"/>
  <c r="AN11" i="1"/>
  <c r="O25" i="12"/>
  <c r="L26" i="12"/>
  <c r="H29" i="2"/>
  <c r="N28" i="2" s="1"/>
  <c r="O29" i="2"/>
  <c r="L30" i="2"/>
  <c r="T43" i="5"/>
  <c r="T44" i="5" s="1"/>
  <c r="S44" i="5"/>
  <c r="AE14" i="1" l="1"/>
  <c r="L25" i="12"/>
  <c r="AD16" i="1"/>
  <c r="O24" i="12"/>
  <c r="H23" i="12"/>
  <c r="N22" i="12" s="1"/>
  <c r="H22" i="12" s="1"/>
  <c r="L22" i="12" s="1"/>
  <c r="L24" i="12"/>
  <c r="AE13" i="1"/>
  <c r="AF15" i="1"/>
  <c r="AF12" i="1"/>
  <c r="AD14" i="1"/>
  <c r="AQ17" i="1"/>
  <c r="AX17" i="1"/>
  <c r="BC17" i="1" s="1"/>
  <c r="BB26" i="1" s="1"/>
  <c r="AF13" i="1"/>
  <c r="AD15" i="1"/>
  <c r="AD12" i="1"/>
  <c r="AE15" i="1"/>
  <c r="AF14" i="1"/>
  <c r="N24" i="3"/>
  <c r="L25" i="3"/>
  <c r="AE12" i="1"/>
  <c r="AE16" i="1"/>
  <c r="AQ16" i="1"/>
  <c r="AX16" i="1"/>
  <c r="BC16" i="1" s="1"/>
  <c r="AF16" i="1"/>
  <c r="AD13" i="1"/>
  <c r="O28" i="2"/>
  <c r="H28" i="2"/>
  <c r="N27" i="2" s="1"/>
  <c r="L29" i="2"/>
  <c r="AH14" i="1" l="1"/>
  <c r="AJ14" i="1" s="1"/>
  <c r="AZ27" i="1"/>
  <c r="AH15" i="1"/>
  <c r="AJ15" i="1" s="1"/>
  <c r="L23" i="12"/>
  <c r="L27" i="12" s="1"/>
  <c r="O22" i="12"/>
  <c r="AH16" i="1"/>
  <c r="AJ16" i="1" s="1"/>
  <c r="AH13" i="1"/>
  <c r="AJ13" i="1" s="1"/>
  <c r="AZ28" i="1"/>
  <c r="AZ26" i="1"/>
  <c r="BB27" i="1"/>
  <c r="BQ45" i="1" s="1"/>
  <c r="BB28" i="1"/>
  <c r="BB25" i="1"/>
  <c r="AU27" i="1"/>
  <c r="AW28" i="1"/>
  <c r="AU26" i="1"/>
  <c r="AW27" i="1"/>
  <c r="AU28" i="1"/>
  <c r="AW26" i="1"/>
  <c r="O24" i="3"/>
  <c r="H24" i="3"/>
  <c r="N23" i="3" s="1"/>
  <c r="AH12" i="1"/>
  <c r="AJ12" i="1" s="1"/>
  <c r="AK12" i="1" s="1"/>
  <c r="O27" i="2"/>
  <c r="H27" i="2"/>
  <c r="N26" i="2" s="1"/>
  <c r="L28" i="2"/>
  <c r="BQ33" i="1" l="1"/>
  <c r="BQ18" i="1"/>
  <c r="BQ43" i="1"/>
  <c r="BQ20" i="1"/>
  <c r="BQ34" i="1"/>
  <c r="BQ9" i="1"/>
  <c r="BQ35" i="1"/>
  <c r="BQ8" i="1"/>
  <c r="BQ10" i="1"/>
  <c r="BQ36" i="1"/>
  <c r="BQ21" i="1"/>
  <c r="BQ44" i="1"/>
  <c r="BQ11" i="1"/>
  <c r="BQ46" i="1"/>
  <c r="BQ19" i="1"/>
  <c r="AY22" i="1"/>
  <c r="H37" i="1"/>
  <c r="H36" i="1"/>
  <c r="AK13" i="1"/>
  <c r="L24" i="3"/>
  <c r="AY18" i="1"/>
  <c r="AY14" i="1"/>
  <c r="AY19" i="1"/>
  <c r="AY17" i="1"/>
  <c r="H23" i="3"/>
  <c r="N22" i="3" s="1"/>
  <c r="H22" i="3" s="1"/>
  <c r="O23" i="3"/>
  <c r="AV15" i="1"/>
  <c r="AV16" i="1"/>
  <c r="AV12" i="1"/>
  <c r="AV19" i="1"/>
  <c r="AV11" i="1"/>
  <c r="AV22" i="1"/>
  <c r="AV23" i="1"/>
  <c r="AV17" i="1"/>
  <c r="AV21" i="1"/>
  <c r="AV18" i="1"/>
  <c r="AV10" i="1"/>
  <c r="AV20" i="1"/>
  <c r="AV9" i="1"/>
  <c r="AV13" i="1"/>
  <c r="AV14" i="1"/>
  <c r="AY20" i="1"/>
  <c r="AY21" i="1"/>
  <c r="AY13" i="1"/>
  <c r="AY12" i="1"/>
  <c r="BM45" i="1"/>
  <c r="BM33" i="1"/>
  <c r="BM8" i="1"/>
  <c r="BM36" i="1"/>
  <c r="BM35" i="1"/>
  <c r="BM43" i="1"/>
  <c r="BM44" i="1"/>
  <c r="BM46" i="1"/>
  <c r="BM10" i="1"/>
  <c r="BM19" i="1"/>
  <c r="AW25" i="1"/>
  <c r="BM18" i="1"/>
  <c r="BM20" i="1"/>
  <c r="BM34" i="1"/>
  <c r="BM11" i="1"/>
  <c r="BM21" i="1"/>
  <c r="BM9" i="1"/>
  <c r="BA18" i="1"/>
  <c r="BA15" i="1"/>
  <c r="BA23" i="1"/>
  <c r="BA12" i="1"/>
  <c r="BA9" i="1"/>
  <c r="BA16" i="1"/>
  <c r="BA11" i="1"/>
  <c r="BA17" i="1"/>
  <c r="BA13" i="1"/>
  <c r="BA20" i="1"/>
  <c r="BA21" i="1"/>
  <c r="BA22" i="1"/>
  <c r="BA14" i="1"/>
  <c r="BA19" i="1"/>
  <c r="BA10" i="1"/>
  <c r="AK16" i="1"/>
  <c r="AY15" i="1"/>
  <c r="AY23" i="1"/>
  <c r="AY9" i="1"/>
  <c r="AU25" i="1"/>
  <c r="BE33" i="1"/>
  <c r="BE11" i="1"/>
  <c r="BE18" i="1"/>
  <c r="BE36" i="1"/>
  <c r="BE10" i="1"/>
  <c r="BE43" i="1"/>
  <c r="BE9" i="1"/>
  <c r="BE45" i="1"/>
  <c r="BE35" i="1"/>
  <c r="BE21" i="1"/>
  <c r="BE44" i="1"/>
  <c r="BE19" i="1"/>
  <c r="BE46" i="1"/>
  <c r="BE8" i="1"/>
  <c r="BE20" i="1"/>
  <c r="BE34" i="1"/>
  <c r="AT19" i="1"/>
  <c r="AT16" i="1"/>
  <c r="AT23" i="1"/>
  <c r="AT20" i="1"/>
  <c r="AT18" i="1"/>
  <c r="AT13" i="1"/>
  <c r="AT17" i="1"/>
  <c r="AT11" i="1"/>
  <c r="AT14" i="1"/>
  <c r="AT9" i="1"/>
  <c r="AT15" i="1"/>
  <c r="AT10" i="1"/>
  <c r="AT12" i="1"/>
  <c r="AT22" i="1"/>
  <c r="AT21" i="1"/>
  <c r="BI9" i="1"/>
  <c r="BI19" i="1"/>
  <c r="BI36" i="1"/>
  <c r="BI21" i="1"/>
  <c r="BI20" i="1"/>
  <c r="BI44" i="1"/>
  <c r="BI8" i="1"/>
  <c r="BI33" i="1"/>
  <c r="AZ25" i="1"/>
  <c r="BI35" i="1"/>
  <c r="BI43" i="1"/>
  <c r="BI46" i="1"/>
  <c r="BI11" i="1"/>
  <c r="BI45" i="1"/>
  <c r="BI34" i="1"/>
  <c r="BI18" i="1"/>
  <c r="BI10" i="1"/>
  <c r="AK15" i="1"/>
  <c r="AY16" i="1"/>
  <c r="AY11" i="1"/>
  <c r="AY10" i="1"/>
  <c r="AK14" i="1"/>
  <c r="L27" i="2"/>
  <c r="O26" i="2"/>
  <c r="H26" i="2"/>
  <c r="N25" i="2" s="1"/>
  <c r="BR37" i="1" l="1"/>
  <c r="I41" i="1"/>
  <c r="BO37" i="1"/>
  <c r="I42" i="1"/>
  <c r="I43" i="1"/>
  <c r="F36" i="1"/>
  <c r="G36" i="1"/>
  <c r="F37" i="1"/>
  <c r="E37" i="1"/>
  <c r="D37" i="1"/>
  <c r="G37" i="1"/>
  <c r="E36" i="1"/>
  <c r="D36" i="1"/>
  <c r="BJ22" i="1"/>
  <c r="BR47" i="1"/>
  <c r="BO12" i="1"/>
  <c r="BO22" i="1"/>
  <c r="BG37" i="1"/>
  <c r="L23" i="3"/>
  <c r="BO47" i="1"/>
  <c r="BR12" i="1"/>
  <c r="BR22" i="1"/>
  <c r="BG12" i="1"/>
  <c r="BJ12" i="1"/>
  <c r="BG22" i="1"/>
  <c r="BJ47" i="1"/>
  <c r="BG47" i="1"/>
  <c r="BJ37" i="1"/>
  <c r="AL30" i="1"/>
  <c r="L22" i="3"/>
  <c r="O22" i="3"/>
  <c r="L26" i="2"/>
  <c r="H25" i="2"/>
  <c r="N24" i="2" s="1"/>
  <c r="O25" i="2"/>
  <c r="L27" i="3" l="1"/>
  <c r="BG49" i="1"/>
  <c r="F43" i="1" s="1"/>
  <c r="G43" i="1" s="1"/>
  <c r="BK24" i="1"/>
  <c r="BG24" i="1"/>
  <c r="F42" i="1" s="1"/>
  <c r="G42" i="1" s="1"/>
  <c r="AJ33" i="1"/>
  <c r="AJ31" i="1"/>
  <c r="AJ32" i="1"/>
  <c r="BK49" i="1"/>
  <c r="H24" i="2"/>
  <c r="N23" i="2" s="1"/>
  <c r="O24" i="2"/>
  <c r="L25" i="2"/>
  <c r="BO49" i="1" l="1"/>
  <c r="D48" i="1" s="1"/>
  <c r="E48" i="1" s="1"/>
  <c r="BO24" i="1"/>
  <c r="D47" i="1" s="1"/>
  <c r="E47" i="1" s="1"/>
  <c r="Z29" i="1"/>
  <c r="AB32" i="1"/>
  <c r="Y28" i="1"/>
  <c r="W29" i="1"/>
  <c r="Y32" i="1"/>
  <c r="V32" i="1"/>
  <c r="Y29" i="1"/>
  <c r="AA32" i="1"/>
  <c r="Z32" i="1"/>
  <c r="T25" i="1"/>
  <c r="U29" i="1"/>
  <c r="T31" i="1"/>
  <c r="S26" i="1"/>
  <c r="X28" i="1"/>
  <c r="AB31" i="1"/>
  <c r="U32" i="1"/>
  <c r="W28" i="1"/>
  <c r="Y31" i="1"/>
  <c r="W31" i="1"/>
  <c r="AA29" i="1"/>
  <c r="V31" i="1"/>
  <c r="AA31" i="1"/>
  <c r="V28" i="1"/>
  <c r="X31" i="1"/>
  <c r="T29" i="1"/>
  <c r="S27" i="1"/>
  <c r="S28" i="1"/>
  <c r="S25" i="1"/>
  <c r="U30" i="1"/>
  <c r="U31" i="1"/>
  <c r="Y30" i="1"/>
  <c r="W30" i="1"/>
  <c r="Z31" i="1"/>
  <c r="Z28" i="1"/>
  <c r="T30" i="1"/>
  <c r="U27" i="1"/>
  <c r="V29" i="1"/>
  <c r="X32" i="1"/>
  <c r="AB29" i="1"/>
  <c r="Z30" i="1"/>
  <c r="AB28" i="1"/>
  <c r="X29" i="1"/>
  <c r="AB30" i="1"/>
  <c r="W32" i="1"/>
  <c r="AA30" i="1"/>
  <c r="U26" i="1"/>
  <c r="S30" i="1"/>
  <c r="S31" i="1"/>
  <c r="T28" i="1"/>
  <c r="U28" i="1"/>
  <c r="U25" i="1"/>
  <c r="T26" i="1"/>
  <c r="S32" i="1"/>
  <c r="AA28" i="1"/>
  <c r="V30" i="1"/>
  <c r="X30" i="1"/>
  <c r="T32" i="1"/>
  <c r="T27" i="1"/>
  <c r="S29" i="1"/>
  <c r="L24" i="2"/>
  <c r="O23" i="2"/>
  <c r="H23" i="2"/>
  <c r="N22" i="2" s="1"/>
  <c r="AC29" i="1" l="1"/>
  <c r="AC28" i="1"/>
  <c r="AH25" i="1" s="1"/>
  <c r="AI25" i="1" s="1"/>
  <c r="AJ25" i="1" s="1"/>
  <c r="O22" i="2"/>
  <c r="H22" i="2"/>
  <c r="L22" i="2" s="1"/>
  <c r="AC30" i="1"/>
  <c r="AC31" i="1"/>
  <c r="AC32" i="1"/>
  <c r="L23" i="2"/>
  <c r="AH27" i="1" l="1"/>
  <c r="AI27" i="1" s="1"/>
  <c r="AJ27" i="1" s="1"/>
  <c r="AH26" i="1"/>
  <c r="AI26" i="1" s="1"/>
  <c r="AJ26" i="1" s="1"/>
  <c r="AK26" i="1" s="1"/>
  <c r="AH28" i="1"/>
  <c r="AI28" i="1" s="1"/>
  <c r="AJ28" i="1" s="1"/>
  <c r="AH29" i="1"/>
  <c r="AI29" i="1" s="1"/>
  <c r="AJ29" i="1" s="1"/>
  <c r="L31" i="2"/>
  <c r="AK25" i="1"/>
  <c r="AK27" i="1" l="1"/>
  <c r="AK28" i="1"/>
  <c r="AK29" i="1"/>
  <c r="AC34" i="1" l="1"/>
  <c r="D18" i="1" s="1"/>
  <c r="D52" i="1" l="1"/>
  <c r="E52" i="1" s="1"/>
  <c r="M2" i="1" l="1"/>
</calcChain>
</file>

<file path=xl/sharedStrings.xml><?xml version="1.0" encoding="utf-8"?>
<sst xmlns="http://schemas.openxmlformats.org/spreadsheetml/2006/main" count="773" uniqueCount="675">
  <si>
    <r>
      <rPr>
        <sz val="10"/>
        <rFont val="Arial"/>
        <family val="2"/>
      </rPr>
      <t>: This field must be filled out</t>
    </r>
  </si>
  <si>
    <r>
      <rPr>
        <sz val="10"/>
        <rFont val="Arial"/>
        <family val="2"/>
      </rPr>
      <t>: This field should be filled out</t>
    </r>
  </si>
  <si>
    <r>
      <rPr>
        <sz val="10"/>
        <rFont val="Arial"/>
        <family val="2"/>
      </rPr>
      <t>: The content of this field can be adapted</t>
    </r>
  </si>
  <si>
    <r>
      <rPr>
        <b/>
        <sz val="10"/>
        <rFont val="Arial"/>
        <family val="2"/>
      </rPr>
      <t>AS-No:</t>
    </r>
  </si>
  <si>
    <r>
      <rPr>
        <sz val="10"/>
        <rFont val="Arial"/>
        <family val="2"/>
      </rPr>
      <t xml:space="preserve">: Internal number of the analysis </t>
    </r>
  </si>
  <si>
    <r>
      <rPr>
        <b/>
        <sz val="10"/>
        <rFont val="Arial"/>
        <family val="2"/>
      </rPr>
      <t>S/N</t>
    </r>
  </si>
  <si>
    <r>
      <rPr>
        <sz val="10"/>
        <rFont val="Arial"/>
        <family val="2"/>
      </rPr>
      <t>: Name of the material</t>
    </r>
  </si>
  <si>
    <r>
      <rPr>
        <sz val="10"/>
        <rFont val="Arial"/>
        <family val="2"/>
      </rPr>
      <t>: Sample number (internal number/name of the DNA extraction replicate)</t>
    </r>
  </si>
  <si>
    <r>
      <rPr>
        <b/>
        <sz val="10"/>
        <rFont val="Arial"/>
        <family val="2"/>
      </rPr>
      <t>EBC</t>
    </r>
  </si>
  <si>
    <r>
      <rPr>
        <sz val="10"/>
        <rFont val="Arial"/>
        <family val="2"/>
      </rPr>
      <t>: Extraction blank control</t>
    </r>
  </si>
  <si>
    <r>
      <rPr>
        <b/>
        <sz val="10"/>
        <color rgb="FF808080"/>
        <rFont val="Arial"/>
        <family val="2"/>
      </rPr>
      <t>Calculation of values of standard curve</t>
    </r>
  </si>
  <si>
    <r>
      <rPr>
        <b/>
        <sz val="12"/>
        <rFont val="Arial"/>
        <family val="2"/>
      </rPr>
      <t>Determination of LOD / LOQ</t>
    </r>
  </si>
  <si>
    <r>
      <rPr>
        <sz val="8"/>
        <color rgb="FF808080"/>
        <rFont val="Arial"/>
        <family val="2"/>
      </rPr>
      <t>Log hpl. genom equiv.</t>
    </r>
  </si>
  <si>
    <r>
      <rPr>
        <sz val="10"/>
        <color rgb="FF808080"/>
        <rFont val="Arial"/>
        <family val="2"/>
      </rPr>
      <t>Cq</t>
    </r>
  </si>
  <si>
    <r>
      <rPr>
        <b/>
        <sz val="12"/>
        <rFont val="Arial"/>
        <family val="2"/>
      </rPr>
      <t xml:space="preserve">Values of standard curve </t>
    </r>
  </si>
  <si>
    <r>
      <rPr>
        <sz val="10"/>
        <rFont val="Arial"/>
        <family val="2"/>
      </rPr>
      <t>Dilution level</t>
    </r>
  </si>
  <si>
    <r>
      <rPr>
        <sz val="10"/>
        <rFont val="Arial"/>
        <family val="2"/>
      </rPr>
      <t xml:space="preserve">Cq-values of PCR replicates of </t>
    </r>
    <r>
      <rPr>
        <b/>
        <sz val="10"/>
        <rFont val="Arial"/>
        <family val="2"/>
      </rPr>
      <t>Plate A</t>
    </r>
  </si>
  <si>
    <r>
      <rPr>
        <b/>
        <sz val="10"/>
        <color rgb="FF969696"/>
        <rFont val="Arial"/>
        <family val="2"/>
      </rPr>
      <t>Curve parameters</t>
    </r>
  </si>
  <si>
    <r>
      <rPr>
        <sz val="10"/>
        <color rgb="FF808080"/>
        <rFont val="Arial"/>
        <family val="2"/>
      </rPr>
      <t xml:space="preserve">PC + 10/10 + previous level </t>
    </r>
  </si>
  <si>
    <r>
      <rPr>
        <sz val="10"/>
        <color rgb="FF808080"/>
        <rFont val="Arial"/>
        <family val="2"/>
      </rPr>
      <t>LOD</t>
    </r>
  </si>
  <si>
    <r>
      <rPr>
        <b/>
        <sz val="10"/>
        <rFont val="Arial"/>
        <family val="2"/>
      </rPr>
      <t>AS-No</t>
    </r>
  </si>
  <si>
    <r>
      <rPr>
        <sz val="10"/>
        <color rgb="FF808080"/>
        <rFont val="Arial"/>
        <family val="2"/>
      </rPr>
      <t>intercept                       [2500 - x]</t>
    </r>
  </si>
  <si>
    <r>
      <rPr>
        <sz val="10"/>
        <color rgb="FF808080"/>
        <rFont val="Arial"/>
        <family val="2"/>
      </rPr>
      <t>R² coefficient                 [2500 - x]</t>
    </r>
  </si>
  <si>
    <r>
      <rPr>
        <b/>
        <sz val="10"/>
        <color rgb="FFFFFFFF"/>
        <rFont val="Arial"/>
        <family val="2"/>
      </rPr>
      <t>Log haploid genome equivalents</t>
    </r>
  </si>
  <si>
    <r>
      <rPr>
        <sz val="10"/>
        <rFont val="Arial"/>
        <family val="2"/>
      </rPr>
      <t>Dilution</t>
    </r>
  </si>
  <si>
    <r>
      <rPr>
        <b/>
        <sz val="10"/>
        <rFont val="Arial"/>
        <family val="2"/>
      </rPr>
      <t>Pate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</si>
  <si>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</si>
  <si>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</si>
  <si>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</si>
  <si>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color rgb="FFFFFFFF"/>
        <rFont val="Arial"/>
        <family val="2"/>
      </rPr>
      <t>Log haploid Genome equivalents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</si>
  <si>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</si>
  <si>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</si>
  <si>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Target sequence/hapl. genome copies</t>
    </r>
  </si>
  <si>
    <r>
      <rPr>
        <b/>
        <sz val="10"/>
        <rFont val="Arial"/>
        <family val="2"/>
      </rPr>
      <t>Reference gene</t>
    </r>
  </si>
  <si>
    <r>
      <rPr>
        <sz val="8"/>
        <color rgb="FF808080"/>
        <rFont val="Arial"/>
        <family val="2"/>
      </rPr>
      <t>PC- calibration curve</t>
    </r>
  </si>
  <si>
    <r>
      <rPr>
        <sz val="10"/>
        <color rgb="FF808080"/>
        <rFont val="Arial"/>
        <family val="2"/>
      </rPr>
      <t>10/10</t>
    </r>
  </si>
  <si>
    <r>
      <rPr>
        <sz val="10"/>
        <color rgb="FF808080"/>
        <rFont val="Arial"/>
        <family val="2"/>
      </rPr>
      <t>PC+10/10</t>
    </r>
  </si>
  <si>
    <r>
      <rPr>
        <sz val="10"/>
        <rFont val="Arial"/>
        <family val="2"/>
      </rPr>
      <t>Cq-value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</si>
  <si>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</si>
  <si>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Event</t>
    </r>
  </si>
  <si>
    <r>
      <rPr>
        <sz val="10"/>
        <rFont val="Arial"/>
        <family val="2"/>
      </rPr>
      <t>Ct value</t>
    </r>
  </si>
  <si>
    <r>
      <rPr>
        <sz val="10"/>
        <rFont val="Arial"/>
        <family val="2"/>
      </rPr>
      <t>Ct value</t>
    </r>
  </si>
  <si>
    <r>
      <rPr>
        <sz val="10"/>
        <rFont val="Arial"/>
        <family val="2"/>
      </rPr>
      <t>Ct value</t>
    </r>
  </si>
  <si>
    <r>
      <rPr>
        <sz val="10"/>
        <rFont val="Arial"/>
        <family val="2"/>
      </rPr>
      <t>Ct value</t>
    </r>
  </si>
  <si>
    <r>
      <rPr>
        <b/>
        <sz val="10"/>
        <rFont val="Arial"/>
        <family val="2"/>
      </rPr>
      <t>A</t>
    </r>
  </si>
  <si>
    <r>
      <rPr>
        <b/>
        <sz val="10"/>
        <rFont val="Arial"/>
        <family val="2"/>
      </rPr>
      <t>S/N</t>
    </r>
  </si>
  <si>
    <r>
      <rPr>
        <b/>
        <sz val="10"/>
        <rFont val="Arial"/>
        <family val="2"/>
      </rPr>
      <t>S/N</t>
    </r>
  </si>
  <si>
    <r>
      <rPr>
        <b/>
        <sz val="10"/>
        <rFont val="Arial"/>
        <family val="2"/>
      </rPr>
      <t>B</t>
    </r>
  </si>
  <si>
    <r>
      <rPr>
        <b/>
        <sz val="10"/>
        <rFont val="Arial"/>
        <family val="2"/>
      </rPr>
      <t>Name</t>
    </r>
  </si>
  <si>
    <r>
      <rPr>
        <b/>
        <sz val="10"/>
        <rFont val="Arial"/>
        <family val="2"/>
      </rPr>
      <t>Name</t>
    </r>
  </si>
  <si>
    <r>
      <rPr>
        <b/>
        <sz val="10"/>
        <rFont val="Arial"/>
        <family val="2"/>
      </rPr>
      <t>C</t>
    </r>
  </si>
  <si>
    <r>
      <rPr>
        <b/>
        <sz val="10"/>
        <rFont val="Arial"/>
        <family val="2"/>
      </rPr>
      <t>% GMO</t>
    </r>
  </si>
  <si>
    <r>
      <rPr>
        <b/>
        <sz val="10"/>
        <rFont val="Arial"/>
        <family val="2"/>
      </rPr>
      <t>% GMO</t>
    </r>
  </si>
  <si>
    <r>
      <rPr>
        <b/>
        <sz val="10"/>
        <rFont val="Arial"/>
        <family val="2"/>
      </rPr>
      <t>D</t>
    </r>
  </si>
  <si>
    <r>
      <rPr>
        <sz val="10"/>
        <rFont val="Arial"/>
        <family val="2"/>
      </rPr>
      <t>Level B</t>
    </r>
  </si>
  <si>
    <r>
      <rPr>
        <b/>
        <sz val="10"/>
        <rFont val="Arial"/>
        <family val="2"/>
      </rPr>
      <t>% GMO</t>
    </r>
    <r>
      <rPr>
        <b/>
        <vertAlign val="subscript"/>
        <sz val="10"/>
        <rFont val="Arial"/>
        <family val="2"/>
      </rPr>
      <t>1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</si>
  <si>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1</t>
    </r>
    <r>
      <rPr>
        <b/>
        <sz val="10"/>
        <rFont val="Arial"/>
        <family val="2"/>
      </rPr>
      <t>: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</si>
  <si>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>:</t>
    </r>
  </si>
  <si>
    <r>
      <rPr>
        <b/>
        <sz val="10"/>
        <rFont val="Arial"/>
        <family val="2"/>
      </rPr>
      <t>E</t>
    </r>
  </si>
  <si>
    <r>
      <rPr>
        <b/>
        <sz val="10"/>
        <rFont val="Arial"/>
        <family val="2"/>
      </rPr>
      <t>Level A</t>
    </r>
  </si>
  <si>
    <r>
      <rPr>
        <b/>
        <sz val="10"/>
        <rFont val="Arial"/>
        <family val="2"/>
      </rPr>
      <t>Extraction 1</t>
    </r>
  </si>
  <si>
    <r>
      <rPr>
        <b/>
        <sz val="10"/>
        <rFont val="Arial"/>
        <family val="2"/>
      </rPr>
      <t>F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</si>
  <si>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</si>
  <si>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Level B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</si>
  <si>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</si>
  <si>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G</t>
    </r>
  </si>
  <si>
    <r>
      <rPr>
        <sz val="10"/>
        <rFont val="Arial"/>
        <family val="2"/>
      </rPr>
      <t>Level C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</si>
  <si>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</si>
  <si>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</si>
  <si>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Level C</t>
    </r>
  </si>
  <si>
    <r>
      <rPr>
        <b/>
        <sz val="10"/>
        <rFont val="Arial"/>
        <family val="2"/>
      </rPr>
      <t>Operator</t>
    </r>
  </si>
  <si>
    <r>
      <rPr>
        <b/>
        <sz val="10"/>
        <rFont val="Arial"/>
        <family val="2"/>
      </rPr>
      <t>Operator</t>
    </r>
  </si>
  <si>
    <r>
      <rPr>
        <b/>
        <sz val="10"/>
        <rFont val="Arial"/>
        <family val="2"/>
      </rPr>
      <t>Date of extraction</t>
    </r>
  </si>
  <si>
    <r>
      <rPr>
        <b/>
        <sz val="10"/>
        <rFont val="Arial"/>
        <family val="2"/>
      </rPr>
      <t>H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</si>
  <si>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</si>
  <si>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</si>
  <si>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Level D</t>
    </r>
  </si>
  <si>
    <r>
      <rPr>
        <b/>
        <sz val="10"/>
        <rFont val="Arial"/>
        <family val="2"/>
      </rPr>
      <t>Extraction 1</t>
    </r>
  </si>
  <si>
    <r>
      <rPr>
        <b/>
        <sz val="10"/>
        <rFont val="Arial"/>
        <family val="2"/>
      </rPr>
      <t>I</t>
    </r>
  </si>
  <si>
    <r>
      <rPr>
        <b/>
        <sz val="10"/>
        <rFont val="Arial"/>
        <family val="2"/>
      </rPr>
      <t>Level E</t>
    </r>
  </si>
  <si>
    <r>
      <rPr>
        <b/>
        <sz val="10"/>
        <rFont val="Arial"/>
        <family val="2"/>
      </rPr>
      <t>Extraction 2</t>
    </r>
  </si>
  <si>
    <r>
      <rPr>
        <sz val="10"/>
        <color rgb="FF808080"/>
        <rFont val="Arial"/>
        <family val="2"/>
      </rPr>
      <t>LOQ</t>
    </r>
  </si>
  <si>
    <r>
      <rPr>
        <sz val="10"/>
        <rFont val="Arial"/>
        <family val="2"/>
      </rPr>
      <t>Level D</t>
    </r>
  </si>
  <si>
    <r>
      <rPr>
        <b/>
        <sz val="10"/>
        <rFont val="Arial"/>
        <family val="2"/>
      </rPr>
      <t>Sample No.</t>
    </r>
  </si>
  <si>
    <r>
      <rPr>
        <b/>
        <sz val="10"/>
        <rFont val="Arial"/>
        <family val="2"/>
      </rPr>
      <t xml:space="preserve">Conc. </t>
    </r>
    <r>
      <rPr>
        <b/>
        <sz val="8"/>
        <rFont val="Arial"/>
        <family val="2"/>
      </rPr>
      <t>(ng/µl)</t>
    </r>
  </si>
  <si>
    <r>
      <rPr>
        <b/>
        <sz val="10"/>
        <rFont val="Arial"/>
        <family val="2"/>
      </rPr>
      <t>Sample-No EBC</t>
    </r>
  </si>
  <si>
    <r>
      <rPr>
        <b/>
        <sz val="10"/>
        <rFont val="Arial"/>
        <family val="2"/>
      </rPr>
      <t>LOD</t>
    </r>
    <r>
      <rPr>
        <b/>
        <vertAlign val="subscript"/>
        <sz val="10"/>
        <rFont val="Arial"/>
        <family val="2"/>
      </rPr>
      <t>abs</t>
    </r>
  </si>
  <si>
    <r>
      <rPr>
        <b/>
        <sz val="10"/>
        <rFont val="Arial"/>
        <family val="2"/>
      </rPr>
      <t xml:space="preserve">Conc.          </t>
    </r>
    <r>
      <rPr>
        <b/>
        <sz val="8"/>
        <rFont val="Arial"/>
        <family val="2"/>
      </rPr>
      <t xml:space="preserve"> (ng/µl)</t>
    </r>
  </si>
  <si>
    <r>
      <rPr>
        <b/>
        <sz val="10"/>
        <rFont val="Arial"/>
        <family val="2"/>
      </rPr>
      <t>Sample No. EBC</t>
    </r>
  </si>
  <si>
    <r>
      <rPr>
        <b/>
        <sz val="10"/>
        <rFont val="Arial"/>
        <family val="2"/>
      </rPr>
      <t>Sample No.</t>
    </r>
  </si>
  <si>
    <r>
      <rPr>
        <b/>
        <sz val="10"/>
        <rFont val="Arial"/>
        <family val="2"/>
      </rPr>
      <t xml:space="preserve">Conc.      </t>
    </r>
    <r>
      <rPr>
        <b/>
        <sz val="8"/>
        <rFont val="Arial"/>
        <family val="2"/>
      </rPr>
      <t xml:space="preserve"> (ng/µl)</t>
    </r>
  </si>
  <si>
    <r>
      <rPr>
        <b/>
        <sz val="10"/>
        <rFont val="Arial"/>
        <family val="2"/>
      </rPr>
      <t>Sample No. EBC</t>
    </r>
  </si>
  <si>
    <r>
      <rPr>
        <sz val="10"/>
        <color rgb="FF808080"/>
        <rFont val="Arial"/>
        <family val="2"/>
      </rPr>
      <t>&lt;25% and 10/10</t>
    </r>
  </si>
  <si>
    <r>
      <rPr>
        <b/>
        <sz val="10"/>
        <rFont val="Arial"/>
        <family val="2"/>
      </rPr>
      <t>Extraction 1</t>
    </r>
  </si>
  <si>
    <r>
      <rPr>
        <sz val="10"/>
        <rFont val="Arial"/>
        <family val="2"/>
      </rPr>
      <t>Level E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</si>
  <si>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</si>
  <si>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% GMO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</si>
  <si>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</si>
  <si>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% GMO</t>
    </r>
    <r>
      <rPr>
        <b/>
        <vertAlign val="subscript"/>
        <sz val="10"/>
        <rFont val="Arial"/>
        <family val="2"/>
      </rPr>
      <t>4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</si>
  <si>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4</t>
    </r>
  </si>
  <si>
    <r>
      <rPr>
        <b/>
        <i/>
        <sz val="10"/>
        <rFont val="Arial"/>
        <family val="2"/>
      </rPr>
      <t>RSD</t>
    </r>
  </si>
  <si>
    <r>
      <rPr>
        <sz val="10"/>
        <color rgb="FF808080"/>
        <rFont val="Arial"/>
        <family val="2"/>
      </rPr>
      <t>&lt;25%</t>
    </r>
  </si>
  <si>
    <r>
      <rPr>
        <b/>
        <sz val="10"/>
        <rFont val="Arial"/>
        <family val="2"/>
      </rPr>
      <t>Mean GMO %: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</si>
  <si>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GM</t>
    </r>
  </si>
  <si>
    <r>
      <rPr>
        <b/>
        <sz val="10"/>
        <rFont val="Arial"/>
        <family val="2"/>
      </rPr>
      <t>RSD</t>
    </r>
    <r>
      <rPr>
        <b/>
        <vertAlign val="subscript"/>
        <sz val="10"/>
        <rFont val="Arial"/>
        <family val="2"/>
      </rPr>
      <t>r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</si>
  <si>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</si>
  <si>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</si>
  <si>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PCR reagent kit</t>
    </r>
  </si>
  <si>
    <r>
      <rPr>
        <sz val="10"/>
        <rFont val="Arial"/>
        <family val="2"/>
      </rPr>
      <t>Primer F</t>
    </r>
  </si>
  <si>
    <r>
      <rPr>
        <sz val="10"/>
        <rFont val="Arial"/>
        <family val="2"/>
      </rPr>
      <t>Primer R</t>
    </r>
  </si>
  <si>
    <r>
      <rPr>
        <sz val="10"/>
        <rFont val="Arial"/>
        <family val="2"/>
      </rPr>
      <t>Probe</t>
    </r>
  </si>
  <si>
    <r>
      <rPr>
        <sz val="10"/>
        <rFont val="Arial"/>
        <family val="2"/>
      </rPr>
      <t>Primer F</t>
    </r>
  </si>
  <si>
    <r>
      <rPr>
        <sz val="10"/>
        <rFont val="Arial"/>
        <family val="2"/>
      </rPr>
      <t>Primer R</t>
    </r>
  </si>
  <si>
    <r>
      <rPr>
        <sz val="10"/>
        <rFont val="Arial"/>
        <family val="2"/>
      </rPr>
      <t>Probe</t>
    </r>
  </si>
  <si>
    <r>
      <rPr>
        <b/>
        <sz val="10"/>
        <rFont val="Arial"/>
        <family val="2"/>
      </rPr>
      <t>R</t>
    </r>
    <r>
      <rPr>
        <b/>
        <vertAlign val="superscript"/>
        <sz val="10"/>
        <rFont val="Arial"/>
        <family val="2"/>
      </rPr>
      <t>2</t>
    </r>
  </si>
  <si>
    <r>
      <rPr>
        <b/>
        <sz val="10"/>
        <rFont val="Arial"/>
        <family val="2"/>
      </rPr>
      <t>Primer No.</t>
    </r>
  </si>
  <si>
    <r>
      <rPr>
        <b/>
        <sz val="10"/>
        <rFont val="Arial"/>
        <family val="2"/>
      </rPr>
      <t>Primer No.</t>
    </r>
  </si>
  <si>
    <r>
      <rPr>
        <b/>
        <sz val="10"/>
        <rFont val="Arial"/>
        <family val="2"/>
      </rPr>
      <t>Extraction 1</t>
    </r>
  </si>
  <si>
    <r>
      <rPr>
        <b/>
        <sz val="10"/>
        <rFont val="Arial"/>
        <family val="2"/>
      </rPr>
      <t>PCR Vol. (µl)</t>
    </r>
  </si>
  <si>
    <r>
      <rPr>
        <sz val="8"/>
        <color rgb="FF808080"/>
        <rFont val="Arial"/>
        <family val="2"/>
      </rPr>
      <t>Dynamic Range:</t>
    </r>
  </si>
  <si>
    <r>
      <rPr>
        <sz val="8"/>
        <color rgb="FF808080"/>
        <rFont val="Arial"/>
        <family val="2"/>
      </rPr>
      <t xml:space="preserve"> -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</si>
  <si>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</si>
  <si>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</si>
  <si>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sz val="8"/>
        <color rgb="FF808080"/>
        <rFont val="Arial"/>
        <family val="2"/>
      </rPr>
      <t>Slope: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</si>
  <si>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</si>
  <si>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Ref. gene</t>
    </r>
  </si>
  <si>
    <r>
      <rPr>
        <sz val="8"/>
        <color rgb="FF808080"/>
        <rFont val="Arial"/>
        <family val="2"/>
      </rPr>
      <t>Axis intercept</t>
    </r>
  </si>
  <si>
    <r>
      <rPr>
        <sz val="10"/>
        <rFont val="Arial"/>
        <family val="2"/>
      </rPr>
      <t>Hapl. G-copies</t>
    </r>
  </si>
  <si>
    <r>
      <rPr>
        <b/>
        <sz val="12"/>
        <rFont val="Arial"/>
        <family val="2"/>
      </rPr>
      <t>Curve parameters</t>
    </r>
  </si>
  <si>
    <r>
      <rPr>
        <sz val="8"/>
        <color rgb="FF808080"/>
        <rFont val="Arial"/>
        <family val="2"/>
      </rPr>
      <t>R2:</t>
    </r>
  </si>
  <si>
    <r>
      <rPr>
        <b/>
        <sz val="10"/>
        <rFont val="Arial"/>
        <family val="2"/>
      </rPr>
      <t>LOQ</t>
    </r>
    <r>
      <rPr>
        <b/>
        <vertAlign val="subscript"/>
        <sz val="10"/>
        <rFont val="Arial"/>
        <family val="2"/>
      </rPr>
      <t>abs</t>
    </r>
  </si>
  <si>
    <r>
      <rPr>
        <sz val="10"/>
        <rFont val="Arial"/>
        <family val="2"/>
      </rPr>
      <t>Plate B</t>
    </r>
  </si>
  <si>
    <r>
      <rPr>
        <sz val="10"/>
        <rFont val="Arial"/>
        <family val="2"/>
      </rPr>
      <t>Plate C</t>
    </r>
  </si>
  <si>
    <r>
      <rPr>
        <sz val="10"/>
        <rFont val="Arial"/>
        <family val="2"/>
      </rPr>
      <t>Plate B</t>
    </r>
  </si>
  <si>
    <r>
      <rPr>
        <sz val="10"/>
        <rFont val="Arial"/>
        <family val="2"/>
      </rPr>
      <t>Plate C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</si>
  <si>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1</t>
    </r>
  </si>
  <si>
    <r>
      <rPr>
        <b/>
        <sz val="10"/>
        <rFont val="Arial"/>
        <family val="2"/>
      </rPr>
      <t>%GMO</t>
    </r>
    <r>
      <rPr>
        <b/>
        <vertAlign val="subscript"/>
        <sz val="10"/>
        <rFont val="Arial"/>
        <family val="2"/>
      </rPr>
      <t>4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</si>
  <si>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3</t>
    </r>
  </si>
  <si>
    <r>
      <rPr>
        <b/>
        <sz val="12"/>
        <rFont val="Arial"/>
        <family val="2"/>
      </rPr>
      <t>Trueness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</si>
  <si>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</si>
  <si>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± 25%</t>
    </r>
  </si>
  <si>
    <r>
      <rPr>
        <b/>
        <sz val="10"/>
        <rFont val="Arial"/>
        <family val="2"/>
      </rPr>
      <t>Dynamic range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</si>
  <si>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</si>
  <si>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</si>
  <si>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</si>
  <si>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Ref. gene</t>
    </r>
  </si>
  <si>
    <r>
      <rPr>
        <b/>
        <sz val="12"/>
        <rFont val="Arial"/>
        <family val="2"/>
      </rPr>
      <t>Relative Repeatability Standard Deviation (RSDr)</t>
    </r>
  </si>
  <si>
    <r>
      <rPr>
        <b/>
        <sz val="12"/>
        <rFont val="Arial"/>
        <family val="2"/>
      </rPr>
      <t>Complement to specificity (Event)</t>
    </r>
  </si>
  <si>
    <r>
      <rPr>
        <b/>
        <sz val="10"/>
        <rFont val="Arial"/>
        <family val="2"/>
      </rPr>
      <t>RSD</t>
    </r>
    <r>
      <rPr>
        <b/>
        <vertAlign val="subscript"/>
        <sz val="10"/>
        <rFont val="Arial"/>
        <family val="2"/>
      </rPr>
      <t>r</t>
    </r>
  </si>
  <si>
    <r>
      <rPr>
        <b/>
        <sz val="10"/>
        <rFont val="Arial"/>
        <family val="2"/>
      </rPr>
      <t>S/N</t>
    </r>
  </si>
  <si>
    <r>
      <rPr>
        <b/>
        <sz val="10"/>
        <rFont val="Arial"/>
        <family val="2"/>
      </rPr>
      <t>Sample No.</t>
    </r>
  </si>
  <si>
    <r>
      <rPr>
        <b/>
        <sz val="10"/>
        <rFont val="Arial"/>
        <family val="2"/>
      </rPr>
      <t>% GMO</t>
    </r>
  </si>
  <si>
    <r>
      <rPr>
        <b/>
        <sz val="10"/>
        <rFont val="Arial"/>
        <family val="2"/>
      </rPr>
      <t xml:space="preserve">Conc.          </t>
    </r>
    <r>
      <rPr>
        <b/>
        <sz val="8"/>
        <rFont val="Arial"/>
        <family val="2"/>
      </rPr>
      <t xml:space="preserve"> (ng/µl)</t>
    </r>
  </si>
  <si>
    <r>
      <rPr>
        <b/>
        <sz val="10"/>
        <rFont val="Arial"/>
        <family val="2"/>
      </rPr>
      <t>%GMO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</si>
  <si>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</si>
  <si>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%GMO</t>
    </r>
    <r>
      <rPr>
        <b/>
        <vertAlign val="subscript"/>
        <sz val="10"/>
        <rFont val="Arial"/>
        <family val="2"/>
      </rPr>
      <t>4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</si>
  <si>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4</t>
    </r>
  </si>
  <si>
    <r>
      <rPr>
        <b/>
        <sz val="11"/>
        <rFont val="Arial"/>
        <family val="2"/>
      </rPr>
      <t xml:space="preserve">LOD / LOQ </t>
    </r>
    <r>
      <rPr>
        <b/>
        <sz val="10"/>
        <rFont val="Arial"/>
        <family val="2"/>
      </rPr>
      <t>(GM target DNA copy number)</t>
    </r>
  </si>
  <si>
    <r>
      <rPr>
        <b/>
        <sz val="10"/>
        <rFont val="Arial"/>
        <family val="2"/>
      </rPr>
      <t>Mean GMO: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</si>
  <si>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GM</t>
    </r>
  </si>
  <si>
    <r>
      <rPr>
        <b/>
        <sz val="10"/>
        <rFont val="Arial"/>
        <family val="2"/>
      </rPr>
      <t>RSD</t>
    </r>
    <r>
      <rPr>
        <b/>
        <vertAlign val="subscript"/>
        <sz val="10"/>
        <rFont val="Arial"/>
        <family val="2"/>
      </rPr>
      <t>r</t>
    </r>
  </si>
  <si>
    <r>
      <rPr>
        <b/>
        <sz val="10"/>
        <rFont val="Arial"/>
        <family val="2"/>
      </rPr>
      <t>LOD</t>
    </r>
    <r>
      <rPr>
        <b/>
        <vertAlign val="subscript"/>
        <sz val="10"/>
        <rFont val="Arial"/>
        <family val="2"/>
      </rPr>
      <t xml:space="preserve">abs </t>
    </r>
  </si>
  <si>
    <r>
      <rPr>
        <b/>
        <sz val="10"/>
        <rFont val="Arial"/>
        <family val="2"/>
      </rPr>
      <t>LOQ</t>
    </r>
    <r>
      <rPr>
        <b/>
        <vertAlign val="subscript"/>
        <sz val="10"/>
        <rFont val="Arial"/>
        <family val="2"/>
      </rPr>
      <t>abs</t>
    </r>
  </si>
  <si>
    <r>
      <rPr>
        <sz val="8"/>
        <rFont val="Arial"/>
        <family val="2"/>
      </rPr>
      <t>Zygosity ratio</t>
    </r>
  </si>
  <si>
    <r>
      <rPr>
        <sz val="10"/>
        <color rgb="FF808080"/>
        <rFont val="Arial"/>
        <family val="2"/>
      </rPr>
      <t>cotton</t>
    </r>
  </si>
  <si>
    <r>
      <rPr>
        <sz val="10"/>
        <color rgb="FF808080"/>
        <rFont val="Arial"/>
        <family val="2"/>
      </rPr>
      <t>potato</t>
    </r>
  </si>
  <si>
    <r>
      <rPr>
        <sz val="10"/>
        <color rgb="FF808080"/>
        <rFont val="Arial"/>
        <family val="2"/>
      </rPr>
      <t>linseed</t>
    </r>
  </si>
  <si>
    <r>
      <rPr>
        <sz val="10"/>
        <color rgb="FF808080"/>
        <rFont val="Arial"/>
        <family val="2"/>
      </rPr>
      <t>maize</t>
    </r>
  </si>
  <si>
    <r>
      <rPr>
        <sz val="10"/>
        <color rgb="FF808080"/>
        <rFont val="Arial"/>
        <family val="2"/>
      </rPr>
      <t>canola</t>
    </r>
  </si>
  <si>
    <r>
      <rPr>
        <sz val="10"/>
        <color rgb="FF808080"/>
        <rFont val="Arial"/>
        <family val="2"/>
      </rPr>
      <t>soybean</t>
    </r>
  </si>
  <si>
    <r>
      <rPr>
        <sz val="10"/>
        <color rgb="FF808080"/>
        <rFont val="Arial"/>
        <family val="2"/>
      </rPr>
      <t>tomato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</si>
  <si>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</si>
  <si>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</si>
  <si>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</si>
  <si>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</si>
  <si>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</si>
  <si>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</si>
  <si>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</si>
  <si>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</si>
  <si>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</si>
  <si>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</si>
  <si>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</si>
  <si>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</si>
  <si>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</si>
  <si>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</si>
  <si>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</si>
  <si>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0"/>
        <rFont val="Arial"/>
        <family val="2"/>
      </rPr>
      <t xml:space="preserve">% GMO </t>
    </r>
  </si>
  <si>
    <r>
      <rPr>
        <b/>
        <sz val="10"/>
        <rFont val="Arial"/>
        <family val="2"/>
      </rPr>
      <t>Ref. gene: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</si>
  <si>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</si>
  <si>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DNA concentration (ng/µl)</t>
    </r>
  </si>
  <si>
    <r>
      <rPr>
        <b/>
        <sz val="10"/>
        <rFont val="Arial"/>
        <family val="2"/>
      </rPr>
      <t>Species:</t>
    </r>
  </si>
  <si>
    <r>
      <rPr>
        <b/>
        <sz val="10"/>
        <rFont val="Arial"/>
        <family val="2"/>
      </rPr>
      <t>Mass of haploid genome (pg/hapl. genome)</t>
    </r>
  </si>
  <si>
    <r>
      <rPr>
        <b/>
        <sz val="10"/>
        <rFont val="Arial"/>
        <family val="2"/>
      </rPr>
      <t>Dilution factor</t>
    </r>
  </si>
  <si>
    <r>
      <rPr>
        <sz val="12"/>
        <rFont val="Arial"/>
        <family val="2"/>
      </rPr>
      <t>Dilution level</t>
    </r>
  </si>
  <si>
    <r>
      <rPr>
        <vertAlign val="superscript"/>
        <sz val="12"/>
        <rFont val="Arial"/>
        <family val="2"/>
      </rPr>
      <t>Wells</t>
    </r>
    <r>
      <rPr>
        <sz val="12"/>
        <rFont val="Arial"/>
        <family val="2"/>
      </rPr>
      <t>/</t>
    </r>
    <r>
      <rPr>
        <vertAlign val="subscript"/>
        <sz val="12"/>
        <rFont val="Arial"/>
        <family val="2"/>
      </rPr>
      <t>dilution level</t>
    </r>
  </si>
  <si>
    <r>
      <rPr>
        <sz val="12"/>
        <color rgb="FF808080"/>
        <rFont val="Arial"/>
        <family val="2"/>
      </rPr>
      <t xml:space="preserve">Total volume (µl) </t>
    </r>
    <r>
      <rPr>
        <sz val="8"/>
        <color rgb="FF808080"/>
        <rFont val="Arial"/>
        <family val="2"/>
      </rPr>
      <t>incl. 20% pipetting reserve</t>
    </r>
  </si>
  <si>
    <r>
      <rPr>
        <sz val="12"/>
        <color rgb="FF808080"/>
        <rFont val="Arial"/>
        <family val="2"/>
      </rPr>
      <t>Concentration after dilution (ng/µl)</t>
    </r>
  </si>
  <si>
    <r>
      <rPr>
        <sz val="12"/>
        <rFont val="Arial"/>
        <family val="2"/>
      </rPr>
      <t>A</t>
    </r>
  </si>
  <si>
    <r>
      <rPr>
        <sz val="12"/>
        <rFont val="Arial"/>
        <family val="2"/>
      </rPr>
      <t>cp/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</si>
  <si>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</si>
  <si>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</si>
  <si>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</si>
  <si>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B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</si>
  <si>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</si>
  <si>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</si>
  <si>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</si>
  <si>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C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</si>
  <si>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</si>
  <si>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</si>
  <si>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</si>
  <si>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D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</si>
  <si>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</si>
  <si>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</si>
  <si>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</si>
  <si>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E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</si>
  <si>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</si>
  <si>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</si>
  <si>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</si>
  <si>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F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</si>
  <si>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</si>
  <si>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</si>
  <si>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</si>
  <si>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G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</si>
  <si>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</si>
  <si>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</si>
  <si>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</si>
  <si>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H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</si>
  <si>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</si>
  <si>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</si>
  <si>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</si>
  <si>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I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</si>
  <si>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</si>
  <si>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</si>
  <si>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</si>
  <si>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0"/>
        <rFont val="Arial"/>
        <family val="2"/>
      </rPr>
      <t>Total TE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</si>
  <si>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</si>
  <si>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</si>
  <si>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Standard curve Plate B</t>
    </r>
  </si>
  <si>
    <r>
      <rPr>
        <b/>
        <sz val="10"/>
        <rFont val="Arial"/>
        <family val="2"/>
      </rPr>
      <t xml:space="preserve">% GMO </t>
    </r>
  </si>
  <si>
    <r>
      <rPr>
        <b/>
        <sz val="10"/>
        <rFont val="Arial"/>
        <family val="2"/>
      </rPr>
      <t>Ref. gene: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</si>
  <si>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</si>
  <si>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DNA concentration (ng/µl)</t>
    </r>
  </si>
  <si>
    <r>
      <rPr>
        <b/>
        <sz val="10"/>
        <rFont val="Arial"/>
        <family val="2"/>
      </rPr>
      <t>Species:</t>
    </r>
  </si>
  <si>
    <r>
      <rPr>
        <b/>
        <sz val="10"/>
        <rFont val="Arial"/>
        <family val="2"/>
      </rPr>
      <t>Mass of haploid genome (pg/hapl. genome)</t>
    </r>
  </si>
  <si>
    <r>
      <rPr>
        <b/>
        <sz val="10"/>
        <rFont val="Arial"/>
        <family val="2"/>
      </rPr>
      <t>Dilution factor</t>
    </r>
  </si>
  <si>
    <r>
      <rPr>
        <sz val="12"/>
        <rFont val="Arial"/>
        <family val="2"/>
      </rPr>
      <t>Dilution level</t>
    </r>
  </si>
  <si>
    <r>
      <rPr>
        <b/>
        <sz val="12"/>
        <color rgb="FF0070C0"/>
        <rFont val="Arial"/>
        <family val="2"/>
      </rPr>
      <t>0.2xTE  (µl)</t>
    </r>
  </si>
  <si>
    <r>
      <rPr>
        <vertAlign val="superscript"/>
        <sz val="12"/>
        <rFont val="Arial"/>
        <family val="2"/>
      </rPr>
      <t>Wells</t>
    </r>
    <r>
      <rPr>
        <sz val="12"/>
        <rFont val="Arial"/>
        <family val="2"/>
      </rPr>
      <t>/</t>
    </r>
    <r>
      <rPr>
        <vertAlign val="subscript"/>
        <sz val="12"/>
        <rFont val="Arial"/>
        <family val="2"/>
      </rPr>
      <t>dilution level</t>
    </r>
  </si>
  <si>
    <r>
      <rPr>
        <sz val="12"/>
        <color rgb="FF808080"/>
        <rFont val="Arial"/>
        <family val="2"/>
      </rPr>
      <t xml:space="preserve">Total volume (µl) </t>
    </r>
    <r>
      <rPr>
        <sz val="8"/>
        <color rgb="FF808080"/>
        <rFont val="Arial"/>
        <family val="2"/>
      </rPr>
      <t>incl. 20% pipetting reserve</t>
    </r>
  </si>
  <si>
    <r>
      <rPr>
        <sz val="12"/>
        <rFont val="Arial"/>
        <family val="2"/>
      </rPr>
      <t>Remaining volume (µl)</t>
    </r>
  </si>
  <si>
    <r>
      <rPr>
        <sz val="12"/>
        <color rgb="FF808080"/>
        <rFont val="Arial"/>
        <family val="2"/>
      </rPr>
      <t>Concentration after dilution (ng/µl)</t>
    </r>
  </si>
  <si>
    <r>
      <rPr>
        <sz val="12"/>
        <rFont val="Arial"/>
        <family val="2"/>
      </rPr>
      <t>A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</si>
  <si>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</si>
  <si>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</si>
  <si>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</si>
  <si>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B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</si>
  <si>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</si>
  <si>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</si>
  <si>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</si>
  <si>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C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</si>
  <si>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</si>
  <si>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</si>
  <si>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</si>
  <si>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D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</si>
  <si>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</si>
  <si>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</si>
  <si>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</si>
  <si>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E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</si>
  <si>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</si>
  <si>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</si>
  <si>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</si>
  <si>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0"/>
        <rFont val="Arial"/>
        <family val="2"/>
      </rPr>
      <t>Total TE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</si>
  <si>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</si>
  <si>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</si>
  <si>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Standard curve Plate C</t>
    </r>
  </si>
  <si>
    <r>
      <rPr>
        <b/>
        <sz val="10"/>
        <rFont val="Arial"/>
        <family val="2"/>
      </rPr>
      <t xml:space="preserve">% GMO </t>
    </r>
  </si>
  <si>
    <r>
      <rPr>
        <b/>
        <sz val="10"/>
        <rFont val="Arial"/>
        <family val="2"/>
      </rPr>
      <t>Ref. gene: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</si>
  <si>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</si>
  <si>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Template volume (µl)</t>
    </r>
  </si>
  <si>
    <r>
      <rPr>
        <b/>
        <sz val="10"/>
        <rFont val="Arial"/>
        <family val="2"/>
      </rPr>
      <t>DNA concentration (ng/µl)</t>
    </r>
  </si>
  <si>
    <r>
      <rPr>
        <b/>
        <sz val="10"/>
        <rFont val="Arial"/>
        <family val="2"/>
      </rPr>
      <t>Species:</t>
    </r>
  </si>
  <si>
    <r>
      <rPr>
        <b/>
        <sz val="10"/>
        <rFont val="Arial"/>
        <family val="2"/>
      </rPr>
      <t>Mass of haploid genome (pg/hapl. genome)</t>
    </r>
  </si>
  <si>
    <r>
      <rPr>
        <b/>
        <sz val="10"/>
        <rFont val="Arial"/>
        <family val="2"/>
      </rPr>
      <t>Dilution factor</t>
    </r>
  </si>
  <si>
    <r>
      <rPr>
        <sz val="12"/>
        <rFont val="Arial"/>
        <family val="2"/>
      </rPr>
      <t>Dilution level</t>
    </r>
  </si>
  <si>
    <r>
      <rPr>
        <b/>
        <sz val="12"/>
        <color rgb="FF4472C4" tint="-0.249977111117893"/>
        <rFont val="Arial"/>
        <family val="2"/>
      </rPr>
      <t>0.2xTE  (µl)</t>
    </r>
  </si>
  <si>
    <r>
      <rPr>
        <vertAlign val="superscript"/>
        <sz val="12"/>
        <rFont val="Arial"/>
        <family val="2"/>
      </rPr>
      <t>Wells</t>
    </r>
    <r>
      <rPr>
        <sz val="12"/>
        <rFont val="Arial"/>
        <family val="2"/>
      </rPr>
      <t>/</t>
    </r>
    <r>
      <rPr>
        <vertAlign val="subscript"/>
        <sz val="12"/>
        <rFont val="Arial"/>
        <family val="2"/>
      </rPr>
      <t>dilution level</t>
    </r>
  </si>
  <si>
    <r>
      <rPr>
        <sz val="12"/>
        <color rgb="FF808080"/>
        <rFont val="Arial"/>
        <family val="2"/>
      </rPr>
      <t xml:space="preserve">Total volume (µl) </t>
    </r>
    <r>
      <rPr>
        <sz val="8"/>
        <color rgb="FF808080"/>
        <rFont val="Arial"/>
        <family val="2"/>
      </rPr>
      <t>incl. 20% pipetting reserve</t>
    </r>
  </si>
  <si>
    <r>
      <rPr>
        <sz val="12"/>
        <rFont val="Arial"/>
        <family val="2"/>
      </rPr>
      <t>Remaining volume (µl)</t>
    </r>
  </si>
  <si>
    <r>
      <rPr>
        <sz val="12"/>
        <color rgb="FF808080"/>
        <rFont val="Arial"/>
        <family val="2"/>
      </rPr>
      <t>Concentration after dilution (ng/µl)</t>
    </r>
  </si>
  <si>
    <r>
      <rPr>
        <sz val="12"/>
        <rFont val="Arial"/>
        <family val="2"/>
      </rPr>
      <t>A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</si>
  <si>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</si>
  <si>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</si>
  <si>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</si>
  <si>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B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</si>
  <si>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</si>
  <si>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</si>
  <si>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</si>
  <si>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C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</si>
  <si>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</si>
  <si>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</si>
  <si>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</si>
  <si>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D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</si>
  <si>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</si>
  <si>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</si>
  <si>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</si>
  <si>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E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</si>
  <si>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</si>
  <si>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</si>
  <si>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</si>
  <si>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0"/>
        <rFont val="Arial"/>
        <family val="2"/>
      </rPr>
      <t>Total TE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</si>
  <si>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</si>
  <si>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</si>
  <si>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Required copy number of reference gene / PCR reaction</t>
    </r>
  </si>
  <si>
    <r>
      <rPr>
        <b/>
        <sz val="12"/>
        <color rgb="FF008000"/>
        <rFont val="Arial"/>
        <family val="2"/>
      </rPr>
      <t>Mass of haploid genome (pg)</t>
    </r>
  </si>
  <si>
    <r>
      <rPr>
        <b/>
        <sz val="12"/>
        <rFont val="Arial"/>
        <family val="2"/>
      </rPr>
      <t>DNA (µl)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</si>
  <si>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</si>
  <si>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</si>
  <si>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</si>
  <si>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</si>
  <si>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>Template vol. (µl)</t>
    </r>
  </si>
  <si>
    <r>
      <rPr>
        <b/>
        <sz val="12"/>
        <rFont val="Arial"/>
        <family val="2"/>
      </rPr>
      <t>Required copy number of GM target gene / PCR reaction (target DNA copies)</t>
    </r>
  </si>
  <si>
    <r>
      <rPr>
        <b/>
        <sz val="12"/>
        <color rgb="FF008000"/>
        <rFont val="Arial"/>
        <family val="2"/>
      </rPr>
      <t>Mass of haploid genome (pg)</t>
    </r>
  </si>
  <si>
    <r>
      <rPr>
        <b/>
        <sz val="12"/>
        <rFont val="Arial"/>
        <family val="2"/>
      </rPr>
      <t>Target seq./hapl. genome copies</t>
    </r>
  </si>
  <si>
    <r>
      <rPr>
        <b/>
        <sz val="12"/>
        <rFont val="Arial"/>
        <family val="2"/>
      </rPr>
      <t>Sample (µl)</t>
    </r>
  </si>
  <si>
    <r>
      <rPr>
        <b/>
        <sz val="12"/>
        <color rgb="FF0070C0"/>
        <rFont val="Arial"/>
        <family val="2"/>
      </rPr>
      <t>0.2xTE (µl)</t>
    </r>
  </si>
  <si>
    <r>
      <rPr>
        <sz val="10"/>
        <rFont val="Arial"/>
        <family val="2"/>
      </rPr>
      <t>Species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</si>
  <si>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</si>
  <si>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</si>
  <si>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</si>
  <si>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</si>
  <si>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</si>
  <si>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</si>
  <si>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</si>
  <si>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>Template vol.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</si>
  <si>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</si>
  <si>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</si>
  <si>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0"/>
        <rFont val="Arial"/>
        <family val="2"/>
      </rPr>
      <t>Dilution level</t>
    </r>
  </si>
  <si>
    <r>
      <rPr>
        <b/>
        <sz val="10"/>
        <rFont val="Arial"/>
        <family val="2"/>
      </rPr>
      <t>Target DNA copies</t>
    </r>
  </si>
  <si>
    <r>
      <rPr>
        <sz val="10"/>
        <rFont val="Arial"/>
        <family val="2"/>
      </rPr>
      <t>Step</t>
    </r>
  </si>
  <si>
    <r>
      <rPr>
        <sz val="10"/>
        <rFont val="Arial"/>
        <family val="2"/>
      </rPr>
      <t>e.g.</t>
    </r>
  </si>
  <si>
    <r>
      <rPr>
        <sz val="10"/>
        <rFont val="Arial"/>
        <family val="2"/>
      </rPr>
      <t>T°C</t>
    </r>
  </si>
  <si>
    <r>
      <rPr>
        <sz val="10"/>
        <rFont val="Arial"/>
        <family val="2"/>
      </rPr>
      <t>Time (sec)</t>
    </r>
  </si>
  <si>
    <r>
      <rPr>
        <sz val="10"/>
        <rFont val="Arial"/>
        <family val="2"/>
      </rPr>
      <t>Acquisition</t>
    </r>
  </si>
  <si>
    <r>
      <rPr>
        <sz val="10"/>
        <rFont val="Arial"/>
        <family val="2"/>
      </rPr>
      <t>Cycles</t>
    </r>
  </si>
  <si>
    <r>
      <rPr>
        <sz val="10"/>
        <rFont val="Arial"/>
        <family val="2"/>
      </rPr>
      <t>UNG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</si>
  <si>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</si>
  <si>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</si>
  <si>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Elongation</t>
    </r>
  </si>
  <si>
    <r>
      <rPr>
        <sz val="10"/>
        <rFont val="Arial"/>
        <family val="2"/>
      </rPr>
      <t>for</t>
    </r>
  </si>
  <si>
    <r>
      <rPr>
        <sz val="8"/>
        <rFont val="Arial"/>
        <family val="2"/>
      </rPr>
      <t>Final concentration (nM)</t>
    </r>
  </si>
  <si>
    <r>
      <rPr>
        <sz val="8"/>
        <rFont val="Arial"/>
        <family val="2"/>
      </rPr>
      <t>Conc. working solution (µM)</t>
    </r>
  </si>
  <si>
    <r>
      <rPr>
        <b/>
        <sz val="8"/>
        <rFont val="Arial"/>
        <family val="2"/>
      </rPr>
      <t>Stock solution                (µl)</t>
    </r>
  </si>
  <si>
    <r>
      <rPr>
        <b/>
        <sz val="8"/>
        <color rgb="FF3366FF"/>
        <rFont val="Arial"/>
        <family val="2"/>
      </rPr>
      <t>Water (µl)</t>
    </r>
  </si>
  <si>
    <r>
      <rPr>
        <b/>
        <sz val="12"/>
        <rFont val="Arial"/>
        <family val="2"/>
      </rPr>
      <t>Preparation of reaction mix</t>
    </r>
  </si>
  <si>
    <r>
      <rPr>
        <b/>
        <sz val="10"/>
        <rFont val="Arial"/>
        <family val="2"/>
      </rPr>
      <t>Lot number</t>
    </r>
  </si>
  <si>
    <r>
      <rPr>
        <sz val="8"/>
        <rFont val="Arial"/>
        <family val="2"/>
      </rPr>
      <t>Primer F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</si>
  <si>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</si>
  <si>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</si>
  <si>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</si>
  <si>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</si>
  <si>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</si>
  <si>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</si>
  <si>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</si>
  <si>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</si>
  <si>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</si>
  <si>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Preparation of 100 µl of working solution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</si>
  <si>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</si>
  <si>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Plate B: Plate layout and preparation of the reaction mixes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</si>
  <si>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</si>
  <si>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(µl)</t>
    </r>
  </si>
  <si>
    <r>
      <rPr>
        <b/>
        <sz val="8"/>
        <color rgb="FF3366FF"/>
        <rFont val="Arial"/>
        <family val="2"/>
      </rPr>
      <t>Water (µl)</t>
    </r>
  </si>
  <si>
    <r>
      <rPr>
        <b/>
        <sz val="12"/>
        <rFont val="Arial"/>
        <family val="2"/>
      </rPr>
      <t>Standard curve Plate B</t>
    </r>
  </si>
  <si>
    <r>
      <rPr>
        <b/>
        <sz val="12"/>
        <rFont val="Arial"/>
        <family val="2"/>
      </rPr>
      <t xml:space="preserve">Samples </t>
    </r>
  </si>
  <si>
    <r>
      <rPr>
        <b/>
        <sz val="12"/>
        <rFont val="Arial"/>
        <family val="2"/>
      </rPr>
      <t>EBC / NTC</t>
    </r>
  </si>
  <si>
    <r>
      <rPr>
        <sz val="10"/>
        <rFont val="Arial"/>
        <family val="2"/>
      </rPr>
      <t>Level A</t>
    </r>
  </si>
  <si>
    <r>
      <rPr>
        <sz val="10"/>
        <rFont val="Arial"/>
        <family val="2"/>
      </rPr>
      <t>Level B</t>
    </r>
  </si>
  <si>
    <r>
      <rPr>
        <sz val="10"/>
        <rFont val="Arial"/>
        <family val="2"/>
      </rPr>
      <t>Level C</t>
    </r>
  </si>
  <si>
    <r>
      <rPr>
        <sz val="10"/>
        <rFont val="Arial"/>
        <family val="2"/>
      </rPr>
      <t>Level D</t>
    </r>
  </si>
  <si>
    <r>
      <rPr>
        <sz val="10"/>
        <rFont val="Arial"/>
        <family val="2"/>
      </rPr>
      <t>Level E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</si>
  <si>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1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</si>
  <si>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2</t>
    </r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</si>
  <si>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Extraction 1</t>
    </r>
  </si>
  <si>
    <r>
      <rPr>
        <b/>
        <sz val="12"/>
        <rFont val="Arial"/>
        <family val="2"/>
      </rPr>
      <t>Preparation of reaction mix</t>
    </r>
  </si>
  <si>
    <r>
      <rPr>
        <sz val="10"/>
        <color theme="0" tint="-0.49995422223578601"/>
        <rFont val="Arial"/>
        <family val="2"/>
      </rPr>
      <t>A</t>
    </r>
  </si>
  <si>
    <r>
      <rPr>
        <sz val="10"/>
        <color theme="0" tint="-0.49995422223578601"/>
        <rFont val="Arial"/>
        <family val="2"/>
      </rPr>
      <t>x</t>
    </r>
  </si>
  <si>
    <r>
      <rPr>
        <b/>
        <sz val="10"/>
        <rFont val="Arial"/>
        <family val="2"/>
      </rPr>
      <t xml:space="preserve">      Total                              </t>
    </r>
    <r>
      <rPr>
        <sz val="8"/>
        <rFont val="Arial"/>
        <family val="2"/>
      </rPr>
      <t xml:space="preserve"> consider pipetting reserve!</t>
    </r>
  </si>
  <si>
    <r>
      <rPr>
        <sz val="10"/>
        <color theme="0" tint="-0.49995422223578601"/>
        <rFont val="Arial"/>
        <family val="2"/>
      </rPr>
      <t>B</t>
    </r>
  </si>
  <si>
    <r>
      <rPr>
        <sz val="10"/>
        <color theme="0" tint="-0.49995422223578601"/>
        <rFont val="Arial"/>
        <family val="2"/>
      </rPr>
      <t>x</t>
    </r>
  </si>
  <si>
    <r>
      <rPr>
        <b/>
        <sz val="10"/>
        <rFont val="Arial"/>
        <family val="2"/>
      </rPr>
      <t>Lot No.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</si>
  <si>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</si>
  <si>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</si>
  <si>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D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</si>
  <si>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</si>
  <si>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</si>
  <si>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</si>
  <si>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</si>
  <si>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</si>
  <si>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</si>
  <si>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rFont val="Arial"/>
        <family val="2"/>
      </rPr>
      <t>Primer F</t>
    </r>
  </si>
  <si>
    <r>
      <rPr>
        <sz val="10"/>
        <rFont val="Arial"/>
        <family val="2"/>
      </rPr>
      <t>Event</t>
    </r>
  </si>
  <si>
    <r>
      <rPr>
        <sz val="10"/>
        <color theme="0" tint="-0.49995422223578601"/>
        <rFont val="Arial"/>
        <family val="2"/>
      </rPr>
      <t>E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</si>
  <si>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</si>
  <si>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</si>
  <si>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</si>
  <si>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color theme="0" tint="-0.49995422223578601"/>
        <rFont val="Arial"/>
        <family val="2"/>
      </rPr>
      <t>F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</si>
  <si>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</si>
  <si>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</si>
  <si>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</si>
  <si>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rFont val="Arial"/>
        <family val="2"/>
      </rPr>
      <t>Total</t>
    </r>
  </si>
  <si>
    <r>
      <rPr>
        <sz val="10"/>
        <color theme="0" tint="-0.49995422223578601"/>
        <rFont val="Arial"/>
        <family val="2"/>
      </rPr>
      <t>G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</si>
  <si>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</si>
  <si>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</si>
  <si>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</si>
  <si>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</si>
  <si>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color theme="0" tint="-0.49995422223578601"/>
        <rFont val="Arial"/>
        <family val="2"/>
      </rPr>
      <t>H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</si>
  <si>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</si>
  <si>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</si>
  <si>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</si>
  <si>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</si>
  <si>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</si>
  <si>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</si>
  <si>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color theme="0"/>
        <rFont val="Arial"/>
        <family val="2"/>
      </rPr>
      <t>NTC Ref</t>
    </r>
  </si>
  <si>
    <r>
      <rPr>
        <sz val="8"/>
        <color rgb="FFE7E6E6" tint="-0.49995422223578601"/>
        <rFont val="Arial"/>
        <family val="2"/>
      </rPr>
      <t>NTC GM Target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</si>
  <si>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</si>
  <si>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</si>
  <si>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2"/>
        <rFont val="Arial"/>
        <family val="2"/>
      </rPr>
      <t>Instrument</t>
    </r>
  </si>
  <si>
    <r>
      <rPr>
        <b/>
        <sz val="10"/>
        <rFont val="Arial"/>
        <family val="2"/>
      </rPr>
      <t>Preparation of 100 µl of working solution</t>
    </r>
  </si>
  <si>
    <r>
      <rPr>
        <sz val="10"/>
        <rFont val="Arial"/>
        <family val="2"/>
      </rPr>
      <t>for</t>
    </r>
  </si>
  <si>
    <r>
      <rPr>
        <sz val="10"/>
        <rFont val="Arial"/>
        <family val="2"/>
      </rPr>
      <t>Step</t>
    </r>
  </si>
  <si>
    <r>
      <rPr>
        <sz val="10"/>
        <rFont val="Arial"/>
        <family val="2"/>
      </rPr>
      <t>e.g.</t>
    </r>
  </si>
  <si>
    <r>
      <rPr>
        <sz val="10"/>
        <rFont val="Arial"/>
        <family val="2"/>
      </rPr>
      <t>T°C</t>
    </r>
  </si>
  <si>
    <r>
      <rPr>
        <sz val="10"/>
        <rFont val="Arial"/>
        <family val="2"/>
      </rPr>
      <t>Time (sec)</t>
    </r>
  </si>
  <si>
    <r>
      <rPr>
        <sz val="10"/>
        <rFont val="Arial"/>
        <family val="2"/>
      </rPr>
      <t>Acquisition</t>
    </r>
  </si>
  <si>
    <r>
      <rPr>
        <sz val="10"/>
        <rFont val="Arial"/>
        <family val="2"/>
      </rPr>
      <t>Cycles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</si>
  <si>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</si>
  <si>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        (µl)</t>
    </r>
  </si>
  <si>
    <r>
      <rPr>
        <b/>
        <sz val="8"/>
        <color rgb="FF3366FF"/>
        <rFont val="Arial"/>
        <family val="2"/>
      </rPr>
      <t>Water (µl)</t>
    </r>
  </si>
  <si>
    <r>
      <rPr>
        <sz val="10"/>
        <rFont val="Arial"/>
        <family val="2"/>
      </rPr>
      <t>UNG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</si>
  <si>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</si>
  <si>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Denaturation</t>
    </r>
  </si>
  <si>
    <r>
      <rPr>
        <b/>
        <sz val="12"/>
        <rFont val="Arial"/>
        <family val="2"/>
      </rPr>
      <t>Preparation of reaction mix</t>
    </r>
  </si>
  <si>
    <r>
      <rPr>
        <sz val="10"/>
        <rFont val="Arial"/>
        <family val="2"/>
      </rPr>
      <t>Elongation</t>
    </r>
  </si>
  <si>
    <r>
      <rPr>
        <b/>
        <sz val="10"/>
        <rFont val="Arial"/>
        <family val="2"/>
      </rPr>
      <t xml:space="preserve">     Total                              </t>
    </r>
    <r>
      <rPr>
        <sz val="8"/>
        <rFont val="Arial"/>
        <family val="2"/>
      </rPr>
      <t xml:space="preserve"> consider pipetting reserve!</t>
    </r>
  </si>
  <si>
    <r>
      <rPr>
        <b/>
        <sz val="10"/>
        <rFont val="Arial"/>
        <family val="2"/>
      </rPr>
      <t>Component</t>
    </r>
  </si>
  <si>
    <r>
      <rPr>
        <b/>
        <sz val="10"/>
        <rFont val="Arial"/>
        <family val="2"/>
      </rPr>
      <t>Lot No.</t>
    </r>
  </si>
  <si>
    <r>
      <rPr>
        <sz val="8"/>
        <rFont val="Arial"/>
        <family val="2"/>
      </rPr>
      <t>Primer F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</si>
  <si>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</si>
  <si>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</si>
  <si>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</si>
  <si>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</si>
  <si>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</si>
  <si>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</si>
  <si>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</si>
  <si>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</si>
  <si>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</si>
  <si>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Preparation of 100 µl of working solution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</si>
  <si>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</si>
  <si>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Plate C: Plate layout and preparation of the reaction mixes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</si>
  <si>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</si>
  <si>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(µl)</t>
    </r>
  </si>
  <si>
    <r>
      <rPr>
        <b/>
        <sz val="8"/>
        <color rgb="FF3366FF"/>
        <rFont val="Arial"/>
        <family val="2"/>
      </rPr>
      <t>Water (µl)</t>
    </r>
  </si>
  <si>
    <r>
      <rPr>
        <b/>
        <sz val="12"/>
        <rFont val="Arial"/>
        <family val="2"/>
      </rPr>
      <t>Standard curve Plate C</t>
    </r>
  </si>
  <si>
    <r>
      <rPr>
        <b/>
        <sz val="12"/>
        <rFont val="Arial"/>
        <family val="2"/>
      </rPr>
      <t>Samples</t>
    </r>
  </si>
  <si>
    <r>
      <rPr>
        <b/>
        <sz val="12"/>
        <rFont val="Arial"/>
        <family val="2"/>
      </rPr>
      <t>Specificity</t>
    </r>
  </si>
  <si>
    <r>
      <rPr>
        <sz val="10"/>
        <rFont val="Arial"/>
        <family val="2"/>
      </rPr>
      <t>Level A</t>
    </r>
  </si>
  <si>
    <r>
      <rPr>
        <sz val="10"/>
        <rFont val="Arial"/>
        <family val="2"/>
      </rPr>
      <t>Level B</t>
    </r>
  </si>
  <si>
    <r>
      <rPr>
        <sz val="10"/>
        <rFont val="Arial"/>
        <family val="2"/>
      </rPr>
      <t>Level C</t>
    </r>
  </si>
  <si>
    <r>
      <rPr>
        <sz val="10"/>
        <rFont val="Arial"/>
        <family val="2"/>
      </rPr>
      <t>Level D</t>
    </r>
  </si>
  <si>
    <r>
      <rPr>
        <sz val="10"/>
        <rFont val="Arial"/>
        <family val="2"/>
      </rPr>
      <t>Level E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</si>
  <si>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1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</si>
  <si>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2</t>
    </r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</si>
  <si>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Extraction 1</t>
    </r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</si>
  <si>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Extraktion 2</t>
    </r>
  </si>
  <si>
    <r>
      <rPr>
        <b/>
        <sz val="12"/>
        <rFont val="Arial"/>
        <family val="2"/>
      </rPr>
      <t>Preparation of reaction mix</t>
    </r>
  </si>
  <si>
    <r>
      <rPr>
        <sz val="10"/>
        <rFont val="Arial"/>
        <family val="2"/>
      </rPr>
      <t>Reference gene</t>
    </r>
  </si>
  <si>
    <r>
      <rPr>
        <sz val="10"/>
        <color theme="0" tint="-0.49995422223578601"/>
        <rFont val="Arial"/>
        <family val="2"/>
      </rPr>
      <t>A</t>
    </r>
  </si>
  <si>
    <r>
      <rPr>
        <b/>
        <sz val="10"/>
        <rFont val="Arial"/>
        <family val="2"/>
      </rPr>
      <t xml:space="preserve">      Total                              </t>
    </r>
    <r>
      <rPr>
        <sz val="8"/>
        <rFont val="Arial"/>
        <family val="2"/>
      </rPr>
      <t xml:space="preserve"> consider pipetting reserve!</t>
    </r>
  </si>
  <si>
    <r>
      <rPr>
        <sz val="10"/>
        <color theme="0" tint="-0.49995422223578601"/>
        <rFont val="Arial"/>
        <family val="2"/>
      </rPr>
      <t>B</t>
    </r>
  </si>
  <si>
    <r>
      <rPr>
        <b/>
        <sz val="10"/>
        <rFont val="Arial"/>
        <family val="2"/>
      </rPr>
      <t>Component</t>
    </r>
  </si>
  <si>
    <r>
      <rPr>
        <b/>
        <sz val="10"/>
        <rFont val="Arial"/>
        <family val="2"/>
      </rPr>
      <t>Lot No.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</si>
  <si>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</si>
  <si>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color theme="0" tint="-0.49995422223578601"/>
        <rFont val="Arial"/>
        <family val="2"/>
      </rPr>
      <t>D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</si>
  <si>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</si>
  <si>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</si>
  <si>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</si>
  <si>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</si>
  <si>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</si>
  <si>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rFont val="Arial"/>
        <family val="2"/>
      </rPr>
      <t>Primer F</t>
    </r>
  </si>
  <si>
    <r>
      <rPr>
        <sz val="10"/>
        <rFont val="Arial"/>
        <family val="2"/>
      </rPr>
      <t>Event</t>
    </r>
  </si>
  <si>
    <r>
      <rPr>
        <sz val="10"/>
        <color theme="0" tint="-0.49995422223578601"/>
        <rFont val="Arial"/>
        <family val="2"/>
      </rPr>
      <t>E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</si>
  <si>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</si>
  <si>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</si>
  <si>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color theme="0" tint="-0.49995422223578601"/>
        <rFont val="Arial"/>
        <family val="2"/>
      </rPr>
      <t>F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</si>
  <si>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</si>
  <si>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</si>
  <si>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rFont val="Arial"/>
        <family val="2"/>
      </rPr>
      <t>Total</t>
    </r>
  </si>
  <si>
    <r>
      <rPr>
        <sz val="10"/>
        <color theme="0" tint="-0.49995422223578601"/>
        <rFont val="Arial"/>
        <family val="2"/>
      </rPr>
      <t>G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</si>
  <si>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</si>
  <si>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</si>
  <si>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</si>
  <si>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color theme="0" tint="-0.49995422223578601"/>
        <rFont val="Arial"/>
        <family val="2"/>
      </rPr>
      <t>H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</si>
  <si>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</si>
  <si>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</si>
  <si>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</si>
  <si>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</si>
  <si>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</si>
  <si>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</si>
  <si>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color theme="0"/>
        <rFont val="Arial"/>
        <family val="2"/>
      </rPr>
      <t>NTC Ref</t>
    </r>
  </si>
  <si>
    <r>
      <rPr>
        <sz val="8"/>
        <color rgb="FFE7E6E6" tint="-0.49995422223578601"/>
        <rFont val="Arial"/>
        <family val="2"/>
      </rPr>
      <t>NTC GM Target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</si>
  <si>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</si>
  <si>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</si>
  <si>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2"/>
        <rFont val="Arial"/>
        <family val="2"/>
      </rPr>
      <t>Instrument</t>
    </r>
  </si>
  <si>
    <r>
      <rPr>
        <b/>
        <sz val="10"/>
        <rFont val="Arial"/>
        <family val="2"/>
      </rPr>
      <t>Preparation of 100 µl of working solution</t>
    </r>
  </si>
  <si>
    <r>
      <rPr>
        <sz val="10"/>
        <rFont val="Arial"/>
        <family val="2"/>
      </rPr>
      <t>for</t>
    </r>
  </si>
  <si>
    <r>
      <rPr>
        <sz val="10"/>
        <rFont val="Arial"/>
        <family val="2"/>
      </rPr>
      <t>Step</t>
    </r>
  </si>
  <si>
    <r>
      <rPr>
        <sz val="10"/>
        <rFont val="Arial"/>
        <family val="2"/>
      </rPr>
      <t>e.g.</t>
    </r>
  </si>
  <si>
    <r>
      <rPr>
        <sz val="10"/>
        <rFont val="Arial"/>
        <family val="2"/>
      </rPr>
      <t>T°C</t>
    </r>
  </si>
  <si>
    <r>
      <rPr>
        <sz val="10"/>
        <rFont val="Arial"/>
        <family val="2"/>
      </rPr>
      <t>Time (sec)</t>
    </r>
  </si>
  <si>
    <r>
      <rPr>
        <sz val="10"/>
        <rFont val="Arial"/>
        <family val="2"/>
      </rPr>
      <t>Acquisition</t>
    </r>
  </si>
  <si>
    <r>
      <rPr>
        <sz val="10"/>
        <rFont val="Arial"/>
        <family val="2"/>
      </rPr>
      <t>Cycles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</si>
  <si>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</si>
  <si>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        (µl)</t>
    </r>
  </si>
  <si>
    <r>
      <rPr>
        <b/>
        <sz val="8"/>
        <color rgb="FF3366FF"/>
        <rFont val="Arial"/>
        <family val="2"/>
      </rPr>
      <t>Water (µl)</t>
    </r>
  </si>
  <si>
    <r>
      <rPr>
        <sz val="10"/>
        <rFont val="Arial"/>
        <family val="2"/>
      </rPr>
      <t>UNG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</si>
  <si>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</si>
  <si>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Denaturation</t>
    </r>
  </si>
  <si>
    <r>
      <rPr>
        <b/>
        <sz val="12"/>
        <rFont val="Arial"/>
        <family val="2"/>
      </rPr>
      <t>Preparation of reaction mix</t>
    </r>
  </si>
  <si>
    <r>
      <rPr>
        <sz val="10"/>
        <rFont val="Arial"/>
        <family val="2"/>
      </rPr>
      <t>Elongation</t>
    </r>
  </si>
  <si>
    <r>
      <rPr>
        <b/>
        <sz val="10"/>
        <rFont val="Arial"/>
        <family val="2"/>
      </rPr>
      <t xml:space="preserve">     Total                                               </t>
    </r>
    <r>
      <rPr>
        <sz val="8"/>
        <rFont val="Arial"/>
        <family val="2"/>
      </rPr>
      <t xml:space="preserve"> consider pipetting reserve!</t>
    </r>
  </si>
  <si>
    <r>
      <rPr>
        <b/>
        <sz val="10"/>
        <rFont val="Arial"/>
        <family val="2"/>
      </rPr>
      <t>Component</t>
    </r>
  </si>
  <si>
    <r>
      <rPr>
        <b/>
        <sz val="10"/>
        <rFont val="Arial"/>
        <family val="2"/>
      </rPr>
      <t>Lot No.</t>
    </r>
  </si>
  <si>
    <r>
      <rPr>
        <sz val="8"/>
        <rFont val="Arial"/>
        <family val="2"/>
      </rPr>
      <t>Primer F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</si>
  <si>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</si>
  <si>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</si>
  <si>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</si>
  <si>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</si>
  <si>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</si>
  <si>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</si>
  <si>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</si>
  <si>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</si>
  <si>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 xml:space="preserve"> </t>
    </r>
  </si>
  <si>
    <t>Name</t>
  </si>
  <si>
    <t>Date</t>
  </si>
  <si>
    <t>Operator</t>
  </si>
  <si>
    <t>Responsible scientist</t>
  </si>
  <si>
    <t>Species</t>
  </si>
  <si>
    <t>Standard</t>
  </si>
  <si>
    <t>Instrument</t>
  </si>
  <si>
    <t>Accept. criterion</t>
  </si>
  <si>
    <t>Slope:  - 3.6 – - 3.1</t>
  </si>
  <si>
    <t>sugar beet</t>
  </si>
  <si>
    <t>Verification report of methods validated in an interlaboratory study for the quantification with real-time PCR of:</t>
  </si>
  <si>
    <t>Efficiency</t>
  </si>
  <si>
    <t>Slope</t>
  </si>
  <si>
    <t>Intercept</t>
  </si>
  <si>
    <t>Ref. gene</t>
  </si>
  <si>
    <t>Dilution levels for LOD/LOQ determination on plate A</t>
  </si>
  <si>
    <t>0.2xTE  (µl)</t>
  </si>
  <si>
    <t>Samples</t>
  </si>
  <si>
    <t>0.2xTE (µl)</t>
  </si>
  <si>
    <t>Remaining volume (µl)</t>
  </si>
  <si>
    <r>
      <rPr>
        <sz val="10"/>
        <rFont val="Arial"/>
        <family val="2"/>
      </rPr>
      <t xml:space="preserve">Annealing                 </t>
    </r>
    <r>
      <rPr>
        <sz val="8"/>
        <rFont val="Arial"/>
        <family val="2"/>
      </rPr>
      <t>(resp. anneal. + elong.)</t>
    </r>
  </si>
  <si>
    <t>Conc. stock solution (µM)</t>
  </si>
  <si>
    <t>Preparation of 100 µl of working solution</t>
  </si>
  <si>
    <t>Component</t>
  </si>
  <si>
    <t>Date of prep. of working sol.</t>
  </si>
  <si>
    <t>Plate A: Plate layout and preparation of the reaction mix</t>
  </si>
  <si>
    <t>Reference gene</t>
  </si>
  <si>
    <t>Annealing                                     (resp. annealing and elongation)</t>
  </si>
  <si>
    <t>Conc. working sol. (µM)</t>
  </si>
  <si>
    <t>µl/reaction</t>
  </si>
  <si>
    <t>Date of extraction</t>
  </si>
  <si>
    <t>slope  [2500 - x]</t>
  </si>
  <si>
    <t>Primer No</t>
  </si>
  <si>
    <t>PC</t>
  </si>
  <si>
    <t xml:space="preserve">Hapl. genome copy number </t>
  </si>
  <si>
    <t>Hapl. genome copy number</t>
  </si>
  <si>
    <t>AV111_10_01 Fast ID Genomic</t>
  </si>
  <si>
    <t>&lt;25% and 10/10 PC+10/10</t>
  </si>
  <si>
    <t>Level A</t>
  </si>
  <si>
    <t>Extraction 1</t>
  </si>
  <si>
    <t>Sample No.</t>
  </si>
  <si>
    <t xml:space="preserve">GM target </t>
  </si>
  <si>
    <t>GM target</t>
  </si>
  <si>
    <t>Cq</t>
  </si>
  <si>
    <t xml:space="preserve">Value [Nominal] </t>
  </si>
  <si>
    <t>Value [Actual]</t>
  </si>
  <si>
    <r>
      <t>R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≥ 0.98</t>
    </r>
  </si>
  <si>
    <t>Extract. Method:</t>
  </si>
  <si>
    <t>Cq-value</t>
  </si>
  <si>
    <r>
      <t xml:space="preserve">GM level 1.1 </t>
    </r>
    <r>
      <rPr>
        <sz val="10"/>
        <rFont val="Arial"/>
        <family val="2"/>
      </rPr>
      <t>(Extract. 1)</t>
    </r>
  </si>
  <si>
    <r>
      <t>GM level 1.2</t>
    </r>
    <r>
      <rPr>
        <sz val="10"/>
        <rFont val="Arial"/>
        <family val="2"/>
      </rPr>
      <t xml:space="preserve"> (Extract. 2)</t>
    </r>
  </si>
  <si>
    <r>
      <t xml:space="preserve">GM level 2.1 </t>
    </r>
    <r>
      <rPr>
        <sz val="10"/>
        <rFont val="Arial"/>
        <family val="2"/>
      </rPr>
      <t>(Extract. 1)</t>
    </r>
  </si>
  <si>
    <r>
      <t xml:space="preserve">GM level 2.2 </t>
    </r>
    <r>
      <rPr>
        <sz val="10"/>
        <rFont val="Arial"/>
        <family val="2"/>
      </rPr>
      <t>(Extract. 2)</t>
    </r>
  </si>
  <si>
    <t>Trueness GM level 1:</t>
  </si>
  <si>
    <t>Trueness GM level 2:</t>
  </si>
  <si>
    <t>GM level 1</t>
  </si>
  <si>
    <t>GM level 2</t>
  </si>
  <si>
    <t>GM level 1 / Extract. 1</t>
  </si>
  <si>
    <t>GM level 1 / Extract. 2</t>
  </si>
  <si>
    <t>GM level 2 / Extract. 1</t>
  </si>
  <si>
    <t>GM level 2 / Extract. 2</t>
  </si>
  <si>
    <t>Standard of Plate A</t>
  </si>
  <si>
    <t>Standard of Plate B</t>
  </si>
  <si>
    <t>Standard of Plate C</t>
  </si>
  <si>
    <t>Cq values</t>
  </si>
  <si>
    <r>
      <t xml:space="preserve">Total                                                </t>
    </r>
    <r>
      <rPr>
        <sz val="8"/>
        <rFont val="Arial"/>
        <family val="2"/>
      </rPr>
      <t xml:space="preserve"> consider pipetting reserve!</t>
    </r>
  </si>
  <si>
    <t>All other fields are write-protected!</t>
  </si>
  <si>
    <t>Plate A</t>
  </si>
  <si>
    <t>Plate C</t>
  </si>
  <si>
    <t>Plate B + C</t>
  </si>
  <si>
    <t xml:space="preserve"> "Dilution series A"</t>
  </si>
  <si>
    <t xml:space="preserve"> "Dilution series B"</t>
  </si>
  <si>
    <t>"Dilution series C"</t>
  </si>
  <si>
    <t xml:space="preserve"> "Dilution of samples"</t>
  </si>
  <si>
    <t xml:space="preserve"> "Plate layout A "LOD_ LOQ""</t>
  </si>
  <si>
    <t xml:space="preserve"> "Plate layout B "Trueness""</t>
  </si>
  <si>
    <t xml:space="preserve"> "Plate layout C "Trueness""</t>
  </si>
  <si>
    <t>Legend</t>
  </si>
  <si>
    <t>Explanation</t>
  </si>
  <si>
    <t>Preparation of dilution series for plate A</t>
  </si>
  <si>
    <t>Preparation of dilution series for plate B</t>
  </si>
  <si>
    <t>Preparation of dilution series for plate C</t>
  </si>
  <si>
    <t>PCR Vol. (µl)</t>
  </si>
  <si>
    <t>Template Vol. (µl)</t>
  </si>
  <si>
    <t>Template volume (µl)</t>
  </si>
  <si>
    <t>Mass of haploid genome [pg]</t>
  </si>
  <si>
    <t>reference gene</t>
  </si>
  <si>
    <t xml:space="preserve"> GM target </t>
  </si>
  <si>
    <t>%GMO:</t>
  </si>
  <si>
    <t>hapl. gen-copies</t>
  </si>
  <si>
    <r>
      <rPr>
        <b/>
        <sz val="12"/>
        <rFont val="Arial"/>
        <family val="2"/>
      </rPr>
      <t xml:space="preserve">GM target DNA </t>
    </r>
    <r>
      <rPr>
        <sz val="12"/>
        <rFont val="Arial"/>
        <family val="2"/>
      </rPr>
      <t>copy number</t>
    </r>
  </si>
  <si>
    <r>
      <t xml:space="preserve">Hapl. genome copy number </t>
    </r>
    <r>
      <rPr>
        <b/>
        <sz val="12"/>
        <rFont val="Arial"/>
        <family val="2"/>
      </rPr>
      <t xml:space="preserve">Reference gene </t>
    </r>
  </si>
  <si>
    <t>cp/</t>
  </si>
  <si>
    <r>
      <t xml:space="preserve">Hapl. genome copy number </t>
    </r>
    <r>
      <rPr>
        <b/>
        <sz val="12"/>
        <rFont val="Arial"/>
        <family val="2"/>
      </rPr>
      <t>Event</t>
    </r>
  </si>
  <si>
    <t>DNA conc. of the sample (ng/µl)</t>
  </si>
  <si>
    <t>DNA conc. of the dilution (ng/µl)</t>
  </si>
  <si>
    <r>
      <t xml:space="preserve">Dilution                    </t>
    </r>
    <r>
      <rPr>
        <b/>
        <sz val="8"/>
        <rFont val="Arial"/>
        <family val="2"/>
      </rPr>
      <t>incl. pipetting reserve                              (1 React.)</t>
    </r>
  </si>
  <si>
    <r>
      <t xml:space="preserve">Dilution                     </t>
    </r>
    <r>
      <rPr>
        <b/>
        <sz val="8"/>
        <rFont val="Arial"/>
        <family val="2"/>
      </rPr>
      <t>incl. pipetting reserve                (4 React.)</t>
    </r>
  </si>
  <si>
    <t>PCR Reaction kit</t>
  </si>
  <si>
    <t>PCR Reaction Kit</t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</si>
  <si>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Extraction 2</t>
    </r>
  </si>
  <si>
    <t xml:space="preserve">for </t>
  </si>
  <si>
    <t>"Report"</t>
  </si>
  <si>
    <t>Name of Excel sheet</t>
  </si>
  <si>
    <t xml:space="preserve">The measured Cq-values are entered on page 1 for specificity, on page 2 for plate A (LOD and LOQ) and on page 3 for plates B and C (dynamic range, R² coefficient, amplification efficiency, trueness, precision and RSDr). </t>
  </si>
  <si>
    <t>Sample No</t>
  </si>
  <si>
    <t>Dilution of samples with GM level 1 and GM level 2 and dilution of samples for specificity test</t>
  </si>
  <si>
    <t>: Serial number (internal material number)</t>
  </si>
  <si>
    <t>: Internal number of primers and probes</t>
  </si>
  <si>
    <t>: Close to the level set in legislation</t>
  </si>
  <si>
    <t>: Close to LOQ</t>
  </si>
  <si>
    <t>: Peformance criteria</t>
  </si>
  <si>
    <t>Plate C:  Plate setup - loading order, cycling programme, preparation of working solutions of primers and probes (reference and GM target system), preparation of reaction mix (reference and GM target system)</t>
  </si>
  <si>
    <t>Plate B: Plate setup - loading order, cycling programme, preparation of working solutions of primers and probes (reference and GM target system), preparation of reaction mix (reference and GM target system)</t>
  </si>
  <si>
    <t>Contents</t>
  </si>
  <si>
    <r>
      <t xml:space="preserve">The first section of  page 1 has to be completed </t>
    </r>
    <r>
      <rPr>
        <u/>
        <sz val="10"/>
        <rFont val="Arial"/>
        <family val="2"/>
      </rPr>
      <t>before</t>
    </r>
    <r>
      <rPr>
        <sz val="10"/>
        <rFont val="Arial"/>
        <family val="2"/>
      </rPr>
      <t xml:space="preserve"> beginning laboratory work! The values for </t>
    </r>
    <r>
      <rPr>
        <b/>
        <sz val="10"/>
        <rFont val="Arial"/>
        <family val="2"/>
      </rPr>
      <t>species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target sequence/haploid genome copies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%GMO, haploid genome copy number, DNA concentration, PCR volume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template volume</t>
    </r>
    <r>
      <rPr>
        <sz val="10"/>
        <rFont val="Arial"/>
        <family val="2"/>
      </rPr>
      <t xml:space="preserve"> are needed for further calculations (e.g. dilution series, dilution of samples with GM level 1 and GM level 2, preparation of the reaction mix).   </t>
    </r>
  </si>
  <si>
    <r>
      <t xml:space="preserve">Determination of the </t>
    </r>
    <r>
      <rPr>
        <b/>
        <sz val="10"/>
        <rFont val="Arial"/>
        <family val="2"/>
      </rPr>
      <t>dynamic range, R² coefficient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amplification efficiency:</t>
    </r>
    <r>
      <rPr>
        <sz val="10"/>
        <rFont val="Arial"/>
        <family val="2"/>
      </rPr>
      <t xml:space="preserve"> 2 calibration curves, 5 calibration points with 3 PCR replicates each (according to example 1 in table 1 in the guidance document from the ENGL "Verification of analytical methods for GMO testing when implementing interlaboratory validated methods")</t>
    </r>
  </si>
  <si>
    <r>
      <t>Determination of</t>
    </r>
    <r>
      <rPr>
        <b/>
        <sz val="10"/>
        <rFont val="Arial"/>
        <family val="2"/>
      </rPr>
      <t xml:space="preserve"> trueness, precision and RSD</t>
    </r>
    <r>
      <rPr>
        <b/>
        <vertAlign val="subscript"/>
        <sz val="10"/>
        <rFont val="Arial"/>
        <family val="2"/>
      </rPr>
      <t xml:space="preserve">r </t>
    </r>
    <r>
      <rPr>
        <sz val="10"/>
        <rFont val="Arial"/>
        <family val="2"/>
      </rPr>
      <t>: 2 DNA extraction replicates per GM level, 4 PCR replicates per extraction/plate, 2 plates, resulting in 16 test results and 4 GM-estimations per GM level (according to example 2 in table 1 in the guidance document from the ENGL "Verification of analytical methods for GMO testing when implementing interlaboratory validated methods")</t>
    </r>
  </si>
  <si>
    <t>Plate A: Plate setup - loading order, cycling programme, preparation of working solutions of primers and probes, preparation of reaction mix</t>
  </si>
  <si>
    <t>Cycling programme</t>
  </si>
  <si>
    <r>
      <t xml:space="preserve">Estimation of </t>
    </r>
    <r>
      <rPr>
        <b/>
        <sz val="10"/>
        <rFont val="Arial"/>
        <family val="2"/>
      </rPr>
      <t>LOD</t>
    </r>
    <r>
      <rPr>
        <b/>
        <vertAlign val="subscript"/>
        <sz val="10"/>
        <rFont val="Arial"/>
        <family val="2"/>
      </rPr>
      <t xml:space="preserve">abs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LOQ</t>
    </r>
    <r>
      <rPr>
        <b/>
        <vertAlign val="subscript"/>
        <sz val="10"/>
        <rFont val="Arial"/>
        <family val="2"/>
      </rPr>
      <t>ab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 xml:space="preserve">: A dilution series with dilution levels A-I (e.g. 2.500, 500, 100, 60, 40, 20, 10, 5 and 1 GM target DNA copies) is prepared. Dilution levels D-I are measured in 10 replicates.  </t>
    </r>
  </si>
  <si>
    <t>Additionally, new materials can be tested for specificity.</t>
  </si>
  <si>
    <t>GM target DNA copy number      [target value]</t>
  </si>
  <si>
    <t>GM target DNA copy number [actual value]</t>
  </si>
  <si>
    <r>
      <t>% GMO</t>
    </r>
    <r>
      <rPr>
        <b/>
        <vertAlign val="subscript"/>
        <sz val="10"/>
        <rFont val="Arial"/>
        <family val="2"/>
      </rPr>
      <t xml:space="preserve">3 </t>
    </r>
  </si>
  <si>
    <r>
      <t>% GMO</t>
    </r>
    <r>
      <rPr>
        <b/>
        <vertAlign val="subscript"/>
        <sz val="10"/>
        <rFont val="Arial"/>
        <family val="2"/>
      </rPr>
      <t>1</t>
    </r>
  </si>
  <si>
    <t>Haploid genome copy number [target value]</t>
  </si>
  <si>
    <t>Haploid genome copy number [actual value]</t>
  </si>
  <si>
    <t>Dilution of samples with GM level 1 and GM level 2</t>
  </si>
  <si>
    <t xml:space="preserve">Dilution of the samples for the test for specificity: </t>
  </si>
  <si>
    <r>
      <t>The second section of page 1 provides an overview of the determined data. The evaluation of the acceptance criteria is highlighted (</t>
    </r>
    <r>
      <rPr>
        <b/>
        <sz val="10"/>
        <color theme="9"/>
        <rFont val="Arial"/>
        <family val="2"/>
      </rPr>
      <t>fulfilled</t>
    </r>
    <r>
      <rPr>
        <sz val="10"/>
        <rFont val="Arial"/>
        <family val="2"/>
      </rPr>
      <t xml:space="preserve"> or </t>
    </r>
    <r>
      <rPr>
        <b/>
        <sz val="10"/>
        <color rgb="FFFF0000"/>
        <rFont val="Arial"/>
        <family val="2"/>
      </rPr>
      <t>not</t>
    </r>
    <r>
      <rPr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fulfilled)</t>
    </r>
    <r>
      <rPr>
        <sz val="10"/>
        <rFont val="Arial"/>
        <family val="2"/>
      </rPr>
      <t xml:space="preserve">.   </t>
    </r>
  </si>
  <si>
    <t>Accept. Criterion</t>
  </si>
  <si>
    <t xml:space="preserve"> Sample No standard:</t>
  </si>
  <si>
    <t>Sample No standard: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</si>
</sst>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%"/>
    <numFmt numFmtId="167" formatCode="0.0%"/>
    <numFmt numFmtId="168" formatCode="0.0000"/>
    <numFmt numFmtId="169" formatCode="#,##0.0"/>
  </numFmts>
  <fonts count="7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b/>
      <sz val="10"/>
      <color indexed="22"/>
      <name val="Arial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color indexed="55"/>
      <name val="Arial"/>
      <family val="2"/>
    </font>
    <font>
      <sz val="10"/>
      <color indexed="23"/>
      <name val="Arial"/>
      <family val="2"/>
    </font>
    <font>
      <sz val="8"/>
      <color indexed="22"/>
      <name val="Arial"/>
      <family val="2"/>
    </font>
    <font>
      <b/>
      <u/>
      <sz val="10"/>
      <name val="Arial"/>
      <family val="2"/>
    </font>
    <font>
      <sz val="10"/>
      <color indexed="55"/>
      <name val="Arial"/>
      <family val="2"/>
    </font>
    <font>
      <sz val="10"/>
      <color indexed="43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vertAlign val="superscript"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trike/>
      <sz val="10"/>
      <color indexed="10"/>
      <name val="Arial"/>
      <family val="2"/>
    </font>
    <font>
      <strike/>
      <sz val="8"/>
      <color indexed="10"/>
      <name val="Arial"/>
      <family val="2"/>
    </font>
    <font>
      <strike/>
      <sz val="6"/>
      <color indexed="10"/>
      <name val="Arial"/>
      <family val="2"/>
    </font>
    <font>
      <b/>
      <strike/>
      <sz val="10"/>
      <color indexed="10"/>
      <name val="Arial"/>
      <family val="2"/>
    </font>
    <font>
      <b/>
      <sz val="10"/>
      <color indexed="23"/>
      <name val="Arial"/>
      <family val="2"/>
    </font>
    <font>
      <b/>
      <sz val="10"/>
      <color indexed="9"/>
      <name val="Arial"/>
      <family val="2"/>
    </font>
    <font>
      <sz val="8"/>
      <color indexed="23"/>
      <name val="Arial"/>
      <family val="2"/>
    </font>
    <font>
      <sz val="12"/>
      <color indexed="23"/>
      <name val="Arial"/>
      <family val="2"/>
    </font>
    <font>
      <sz val="8"/>
      <color indexed="23"/>
      <name val="Arial"/>
      <family val="2"/>
    </font>
    <font>
      <sz val="12"/>
      <color indexed="9"/>
      <name val="Arial"/>
      <family val="2"/>
    </font>
    <font>
      <sz val="10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2"/>
      <color indexed="17"/>
      <name val="Arial"/>
      <family val="2"/>
    </font>
    <font>
      <b/>
      <sz val="8"/>
      <color indexed="48"/>
      <name val="Arial"/>
      <family val="2"/>
    </font>
    <font>
      <b/>
      <sz val="10"/>
      <color indexed="48"/>
      <name val="Arial"/>
      <family val="2"/>
    </font>
    <font>
      <sz val="10"/>
      <color theme="0" tint="-0.499984740745262"/>
      <name val="Arial"/>
      <family val="2"/>
    </font>
    <font>
      <sz val="10"/>
      <color theme="2" tint="-0.499984740745262"/>
      <name val="Arial"/>
      <family val="2"/>
    </font>
    <font>
      <sz val="8"/>
      <color theme="0"/>
      <name val="Arial"/>
      <family val="2"/>
    </font>
    <font>
      <sz val="8"/>
      <color theme="2" tint="-0.499984740745262"/>
      <name val="Arial"/>
      <family val="2"/>
    </font>
    <font>
      <b/>
      <sz val="12"/>
      <color theme="8" tint="-0.249977111117893"/>
      <name val="Arial"/>
      <family val="2"/>
    </font>
    <font>
      <b/>
      <sz val="12"/>
      <color rgb="FF0070C0"/>
      <name val="Arial"/>
      <family val="2"/>
    </font>
    <font>
      <sz val="14"/>
      <name val="Arial"/>
      <family val="2"/>
    </font>
    <font>
      <b/>
      <sz val="10"/>
      <color rgb="FF808080"/>
      <name val="Arial"/>
      <family val="2"/>
    </font>
    <font>
      <sz val="8"/>
      <color rgb="FF808080"/>
      <name val="Arial"/>
      <family val="2"/>
    </font>
    <font>
      <sz val="10"/>
      <color rgb="FF808080"/>
      <name val="Arial"/>
      <family val="2"/>
    </font>
    <font>
      <b/>
      <sz val="10"/>
      <color rgb="FF969696"/>
      <name val="Arial"/>
      <family val="2"/>
    </font>
    <font>
      <b/>
      <sz val="10"/>
      <color rgb="FFFFFFFF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vertAlign val="subscript"/>
      <sz val="12"/>
      <name val="Arial"/>
      <family val="2"/>
    </font>
    <font>
      <sz val="12"/>
      <color rgb="FF808080"/>
      <name val="Arial"/>
      <family val="2"/>
    </font>
    <font>
      <b/>
      <sz val="12"/>
      <color rgb="FF4472C4" tint="-0.249977111117893"/>
      <name val="Arial"/>
      <family val="2"/>
    </font>
    <font>
      <b/>
      <sz val="12"/>
      <color rgb="FF008000"/>
      <name val="Arial"/>
      <family val="2"/>
    </font>
    <font>
      <b/>
      <sz val="8"/>
      <color rgb="FF3366FF"/>
      <name val="Arial"/>
      <family val="2"/>
    </font>
    <font>
      <vertAlign val="subscript"/>
      <sz val="10"/>
      <name val="Arial"/>
      <family val="2"/>
    </font>
    <font>
      <sz val="10"/>
      <color theme="0" tint="-0.49995422223578601"/>
      <name val="Arial"/>
      <family val="2"/>
    </font>
    <font>
      <sz val="8"/>
      <color rgb="FFE7E6E6" tint="-0.4999542222357860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4"/>
      <name val="Arial"/>
      <family val="2"/>
    </font>
    <font>
      <b/>
      <sz val="10"/>
      <color theme="9"/>
      <name val="Arial"/>
      <family val="2"/>
    </font>
    <font>
      <b/>
      <sz val="10"/>
      <color rgb="FFFF000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b/>
      <sz val="10"/>
      <color rgb="FFC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3"/>
      </left>
      <right style="thin">
        <color indexed="64"/>
      </right>
      <top/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double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64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64"/>
      </bottom>
      <diagonal/>
    </border>
    <border>
      <left style="medium">
        <color indexed="10"/>
      </left>
      <right style="thick">
        <color indexed="63"/>
      </right>
      <top style="medium">
        <color indexed="64"/>
      </top>
      <bottom style="medium">
        <color indexed="10"/>
      </bottom>
      <diagonal/>
    </border>
    <border>
      <left style="medium">
        <color indexed="10"/>
      </left>
      <right style="thick">
        <color indexed="63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thick">
        <color indexed="63"/>
      </right>
      <top style="medium">
        <color indexed="10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10"/>
      </right>
      <top style="double">
        <color indexed="64"/>
      </top>
      <bottom/>
      <diagonal/>
    </border>
    <border>
      <left style="double">
        <color indexed="64"/>
      </left>
      <right style="thin">
        <color indexed="10"/>
      </right>
      <top/>
      <bottom style="double">
        <color indexed="64"/>
      </bottom>
      <diagonal/>
    </border>
    <border>
      <left style="thin">
        <color indexed="10"/>
      </left>
      <right style="thin">
        <color indexed="10"/>
      </right>
      <top style="double">
        <color indexed="64"/>
      </top>
      <bottom/>
      <diagonal/>
    </border>
    <border>
      <left style="thin">
        <color indexed="10"/>
      </left>
      <right style="thin">
        <color indexed="10"/>
      </right>
      <top/>
      <bottom style="double">
        <color indexed="64"/>
      </bottom>
      <diagonal/>
    </border>
    <border>
      <left style="medium">
        <color indexed="10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10"/>
      </right>
      <top style="double">
        <color indexed="64"/>
      </top>
      <bottom style="double">
        <color indexed="64"/>
      </bottom>
      <diagonal/>
    </border>
    <border>
      <left style="double">
        <color indexed="23"/>
      </left>
      <right style="double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23"/>
      </left>
      <right style="double">
        <color indexed="23"/>
      </right>
      <top style="thin">
        <color indexed="23"/>
      </top>
      <bottom style="double">
        <color indexed="23"/>
      </bottom>
      <diagonal/>
    </border>
    <border>
      <left style="double">
        <color indexed="64"/>
      </left>
      <right style="double">
        <color indexed="64"/>
      </right>
      <top/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double">
        <color indexed="64"/>
      </left>
      <right/>
      <top/>
      <bottom style="thin">
        <color indexed="10"/>
      </bottom>
      <diagonal/>
    </border>
    <border>
      <left/>
      <right style="double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10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 diagonalDown="1">
      <left/>
      <right/>
      <top/>
      <bottom/>
      <diagonal style="thin">
        <color theme="2" tint="-0.499984740745262"/>
      </diagonal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rgb="FFC00000"/>
      </bottom>
      <diagonal/>
    </border>
    <border>
      <left/>
      <right style="thin">
        <color indexed="64"/>
      </right>
      <top/>
      <bottom style="medium">
        <color rgb="FFC00000"/>
      </bottom>
      <diagonal/>
    </border>
    <border>
      <left style="medium">
        <color rgb="FFC00000"/>
      </left>
      <right style="thin">
        <color indexed="64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/>
      <top style="thin">
        <color theme="2" tint="-0.499984740745262"/>
      </top>
      <bottom/>
      <diagonal/>
    </border>
    <border>
      <left style="medium">
        <color theme="2" tint="-0.499984740745262"/>
      </left>
      <right/>
      <top/>
      <bottom style="thin">
        <color theme="2" tint="-0.499984740745262"/>
      </bottom>
      <diagonal/>
    </border>
    <border>
      <left style="double">
        <color auto="1"/>
      </left>
      <right style="thin">
        <color theme="2" tint="-0.499984740745262"/>
      </right>
      <top style="double">
        <color auto="1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double">
        <color auto="1"/>
      </top>
      <bottom/>
      <diagonal/>
    </border>
    <border>
      <left style="medium">
        <color theme="2" tint="-0.499984740745262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double">
        <color auto="1"/>
      </right>
      <top/>
      <bottom style="thin">
        <color theme="2" tint="-0.499984740745262"/>
      </bottom>
      <diagonal/>
    </border>
    <border>
      <left style="double">
        <color auto="1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double">
        <color auto="1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double">
        <color auto="1"/>
      </right>
      <top/>
      <bottom/>
      <diagonal/>
    </border>
    <border>
      <left style="double">
        <color auto="1"/>
      </left>
      <right style="thin">
        <color theme="2" tint="-0.499984740745262"/>
      </right>
      <top style="thin">
        <color theme="2" tint="-0.499984740745262"/>
      </top>
      <bottom style="double">
        <color auto="1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double">
        <color auto="1"/>
      </bottom>
      <diagonal/>
    </border>
    <border>
      <left style="medium">
        <color theme="2" tint="-0.499984740745262"/>
      </left>
      <right style="double">
        <color auto="1"/>
      </right>
      <top style="thin">
        <color theme="2" tint="-0.499984740745262"/>
      </top>
      <bottom style="double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double">
        <color theme="2" tint="-0.89996032593768116"/>
      </left>
      <right style="thin">
        <color theme="2" tint="-0.499984740745262"/>
      </right>
      <top style="double">
        <color theme="2" tint="-0.89996032593768116"/>
      </top>
      <bottom/>
      <diagonal/>
    </border>
    <border>
      <left style="double">
        <color theme="2" tint="-0.89996032593768116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double">
        <color theme="2" tint="-0.89996032593768116"/>
      </top>
      <bottom/>
      <diagonal/>
    </border>
    <border>
      <left style="double">
        <color theme="2" tint="-0.89996032593768116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double">
        <color theme="2" tint="-0.89996032593768116"/>
      </left>
      <right style="thin">
        <color theme="2" tint="-0.499984740745262"/>
      </right>
      <top/>
      <bottom style="double">
        <color theme="2" tint="-0.89992980742820516"/>
      </bottom>
      <diagonal/>
    </border>
    <border>
      <left style="thin">
        <color theme="2" tint="-0.499984740745262"/>
      </left>
      <right style="double">
        <color theme="2" tint="-0.89992980742820516"/>
      </right>
      <top style="double">
        <color theme="2" tint="-0.89996032593768116"/>
      </top>
      <bottom/>
      <diagonal/>
    </border>
    <border>
      <left style="thin">
        <color theme="2" tint="-0.499984740745262"/>
      </left>
      <right style="double">
        <color theme="2" tint="-0.89992980742820516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double">
        <color theme="2" tint="-0.89992980742820516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double">
        <color theme="2" tint="-0.89992980742820516"/>
      </bottom>
      <diagonal/>
    </border>
    <border>
      <left style="thin">
        <color theme="2" tint="-0.499984740745262"/>
      </left>
      <right style="double">
        <color theme="2" tint="-0.89992980742820516"/>
      </right>
      <top/>
      <bottom style="double">
        <color theme="2" tint="-0.89992980742820516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double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double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auto="1"/>
      </right>
      <top style="thin">
        <color indexed="10"/>
      </top>
      <bottom style="thin">
        <color indexed="10"/>
      </bottom>
      <diagonal/>
    </border>
    <border>
      <left/>
      <right style="thin">
        <color auto="1"/>
      </right>
      <top style="thin">
        <color indexed="10"/>
      </top>
      <bottom style="thin">
        <color indexed="10"/>
      </bottom>
      <diagonal/>
    </border>
    <border>
      <left style="medium">
        <color indexed="10"/>
      </left>
      <right style="thin">
        <color auto="1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C00000"/>
      </bottom>
      <diagonal/>
    </border>
    <border>
      <left style="medium">
        <color rgb="FFFF0000"/>
      </left>
      <right style="medium">
        <color indexed="10"/>
      </right>
      <top style="medium">
        <color rgb="FFFF0000"/>
      </top>
      <bottom style="medium">
        <color rgb="FFFF0000"/>
      </bottom>
      <diagonal/>
    </border>
    <border>
      <left style="double">
        <color indexed="23"/>
      </left>
      <right style="double">
        <color indexed="23"/>
      </right>
      <top/>
      <bottom style="thin">
        <color indexed="23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medium">
        <color theme="2" tint="-0.499984740745262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3"/>
      </left>
      <right style="thin">
        <color indexed="64"/>
      </right>
      <top style="medium">
        <color indexed="63"/>
      </top>
      <bottom style="thin">
        <color indexed="64"/>
      </bottom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medium">
        <color rgb="FFFF0000"/>
      </right>
      <top style="medium">
        <color indexed="10"/>
      </top>
      <bottom style="medium">
        <color rgb="FFFF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230">
    <xf numFmtId="0" fontId="0" fillId="0" borderId="0" xfId="0"/>
    <xf numFmtId="0" fontId="4" fillId="2" borderId="0" xfId="0" applyFont="1" applyFill="1" applyProtection="1"/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Protection="1"/>
    <xf numFmtId="0" fontId="5" fillId="2" borderId="0" xfId="0" applyFont="1" applyFill="1" applyProtection="1"/>
    <xf numFmtId="0" fontId="6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Protection="1"/>
    <xf numFmtId="0" fontId="4" fillId="0" borderId="0" xfId="0" applyFont="1" applyFill="1" applyBorder="1" applyProtection="1"/>
    <xf numFmtId="0" fontId="7" fillId="2" borderId="0" xfId="0" applyFont="1" applyFill="1" applyBorder="1" applyAlignment="1" applyProtection="1"/>
    <xf numFmtId="0" fontId="2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2" fillId="2" borderId="0" xfId="0" applyFont="1" applyFill="1" applyProtection="1"/>
    <xf numFmtId="0" fontId="5" fillId="2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3" fillId="0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6" fillId="2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4" fillId="0" borderId="0" xfId="0" applyFont="1" applyAlignment="1" applyProtection="1">
      <alignment horizontal="center" vertical="center"/>
    </xf>
    <xf numFmtId="0" fontId="13" fillId="2" borderId="0" xfId="0" applyFont="1" applyFill="1" applyBorder="1" applyProtection="1"/>
    <xf numFmtId="164" fontId="5" fillId="2" borderId="0" xfId="0" applyNumberFormat="1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/>
    <xf numFmtId="0" fontId="6" fillId="2" borderId="0" xfId="0" applyFont="1" applyFill="1" applyBorder="1" applyProtection="1"/>
    <xf numFmtId="10" fontId="3" fillId="0" borderId="0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Border="1" applyProtection="1"/>
    <xf numFmtId="2" fontId="12" fillId="3" borderId="1" xfId="0" applyNumberFormat="1" applyFont="1" applyFill="1" applyBorder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/>
    <xf numFmtId="2" fontId="4" fillId="0" borderId="0" xfId="0" applyNumberFormat="1" applyFont="1" applyProtection="1"/>
    <xf numFmtId="1" fontId="4" fillId="0" borderId="1" xfId="0" applyNumberFormat="1" applyFont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/>
    </xf>
    <xf numFmtId="0" fontId="4" fillId="0" borderId="0" xfId="0" applyFont="1" applyBorder="1" applyProtection="1"/>
    <xf numFmtId="1" fontId="4" fillId="0" borderId="0" xfId="0" applyNumberFormat="1" applyFont="1" applyAlignment="1" applyProtection="1">
      <alignment horizontal="center"/>
    </xf>
    <xf numFmtId="2" fontId="4" fillId="0" borderId="0" xfId="0" applyNumberFormat="1" applyFont="1" applyFill="1" applyBorder="1" applyProtection="1"/>
    <xf numFmtId="2" fontId="4" fillId="0" borderId="0" xfId="0" applyNumberFormat="1" applyFont="1" applyBorder="1" applyAlignment="1" applyProtection="1">
      <alignment horizontal="center" vertical="center"/>
    </xf>
    <xf numFmtId="166" fontId="6" fillId="2" borderId="0" xfId="0" applyNumberFormat="1" applyFont="1" applyFill="1" applyBorder="1" applyAlignment="1" applyProtection="1">
      <alignment horizontal="center" vertical="center"/>
    </xf>
    <xf numFmtId="10" fontId="6" fillId="2" borderId="0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/>
    <xf numFmtId="0" fontId="3" fillId="0" borderId="3" xfId="0" applyFont="1" applyFill="1" applyBorder="1" applyAlignment="1" applyProtection="1">
      <alignment horizontal="right"/>
    </xf>
    <xf numFmtId="167" fontId="10" fillId="0" borderId="4" xfId="0" applyNumberFormat="1" applyFont="1" applyFill="1" applyBorder="1" applyProtection="1"/>
    <xf numFmtId="167" fontId="10" fillId="0" borderId="3" xfId="0" applyNumberFormat="1" applyFont="1" applyFill="1" applyBorder="1" applyProtection="1"/>
    <xf numFmtId="1" fontId="15" fillId="0" borderId="1" xfId="0" applyNumberFormat="1" applyFont="1" applyBorder="1" applyAlignment="1" applyProtection="1">
      <alignment horizontal="center" vertical="center"/>
    </xf>
    <xf numFmtId="1" fontId="4" fillId="0" borderId="0" xfId="0" applyNumberFormat="1" applyFont="1" applyBorder="1" applyAlignment="1" applyProtection="1">
      <alignment horizontal="center" vertical="center"/>
    </xf>
    <xf numFmtId="165" fontId="10" fillId="0" borderId="4" xfId="0" applyNumberFormat="1" applyFont="1" applyFill="1" applyBorder="1" applyProtection="1"/>
    <xf numFmtId="2" fontId="10" fillId="0" borderId="3" xfId="0" applyNumberFormat="1" applyFont="1" applyFill="1" applyBorder="1" applyProtection="1"/>
    <xf numFmtId="165" fontId="10" fillId="0" borderId="3" xfId="0" applyNumberFormat="1" applyFont="1" applyFill="1" applyBorder="1" applyProtection="1"/>
    <xf numFmtId="2" fontId="10" fillId="0" borderId="4" xfId="0" applyNumberFormat="1" applyFont="1" applyFill="1" applyBorder="1" applyProtection="1"/>
    <xf numFmtId="165" fontId="10" fillId="0" borderId="0" xfId="0" applyNumberFormat="1" applyFont="1" applyFill="1" applyProtection="1"/>
    <xf numFmtId="2" fontId="10" fillId="0" borderId="0" xfId="0" applyNumberFormat="1" applyFont="1" applyFill="1" applyProtection="1"/>
    <xf numFmtId="9" fontId="3" fillId="0" borderId="0" xfId="0" applyNumberFormat="1" applyFont="1" applyFill="1" applyBorder="1" applyProtection="1"/>
    <xf numFmtId="10" fontId="4" fillId="0" borderId="1" xfId="0" applyNumberFormat="1" applyFont="1" applyBorder="1" applyProtection="1"/>
    <xf numFmtId="0" fontId="7" fillId="0" borderId="0" xfId="0" applyFont="1" applyFill="1" applyBorder="1" applyAlignment="1" applyProtection="1"/>
    <xf numFmtId="0" fontId="4" fillId="3" borderId="0" xfId="0" applyFont="1" applyFill="1" applyBorder="1" applyProtection="1"/>
    <xf numFmtId="0" fontId="0" fillId="0" borderId="0" xfId="0" applyBorder="1" applyAlignment="1" applyProtection="1"/>
    <xf numFmtId="1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0" fillId="0" borderId="0" xfId="0" applyProtection="1"/>
    <xf numFmtId="0" fontId="4" fillId="0" borderId="0" xfId="0" applyFont="1" applyBorder="1" applyAlignment="1" applyProtection="1"/>
    <xf numFmtId="0" fontId="19" fillId="0" borderId="0" xfId="0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Protection="1"/>
    <xf numFmtId="10" fontId="9" fillId="0" borderId="5" xfId="0" applyNumberFormat="1" applyFont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right"/>
    </xf>
    <xf numFmtId="0" fontId="0" fillId="0" borderId="7" xfId="0" applyBorder="1" applyProtection="1"/>
    <xf numFmtId="0" fontId="0" fillId="0" borderId="0" xfId="0" applyBorder="1" applyProtection="1"/>
    <xf numFmtId="0" fontId="20" fillId="0" borderId="0" xfId="0" applyFont="1" applyProtection="1"/>
    <xf numFmtId="0" fontId="20" fillId="0" borderId="0" xfId="0" applyFont="1" applyFill="1" applyProtection="1"/>
    <xf numFmtId="0" fontId="22" fillId="0" borderId="0" xfId="0" applyFont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3" fillId="0" borderId="10" xfId="0" applyFont="1" applyBorder="1" applyAlignment="1" applyProtection="1">
      <alignment horizontal="center"/>
    </xf>
    <xf numFmtId="0" fontId="20" fillId="0" borderId="0" xfId="0" applyFont="1" applyBorder="1" applyProtection="1"/>
    <xf numFmtId="49" fontId="20" fillId="0" borderId="1" xfId="0" applyNumberFormat="1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right"/>
    </xf>
    <xf numFmtId="165" fontId="20" fillId="0" borderId="3" xfId="0" applyNumberFormat="1" applyFont="1" applyBorder="1" applyAlignment="1" applyProtection="1">
      <alignment horizontal="center"/>
    </xf>
    <xf numFmtId="166" fontId="20" fillId="0" borderId="0" xfId="0" applyNumberFormat="1" applyFont="1" applyProtection="1"/>
    <xf numFmtId="0" fontId="20" fillId="0" borderId="11" xfId="0" applyFont="1" applyBorder="1" applyAlignment="1" applyProtection="1">
      <alignment horizontal="right"/>
    </xf>
    <xf numFmtId="0" fontId="20" fillId="0" borderId="11" xfId="0" applyFont="1" applyBorder="1" applyProtection="1"/>
    <xf numFmtId="0" fontId="20" fillId="0" borderId="12" xfId="0" applyFont="1" applyBorder="1" applyProtection="1"/>
    <xf numFmtId="165" fontId="20" fillId="0" borderId="1" xfId="0" applyNumberFormat="1" applyFont="1" applyBorder="1" applyAlignment="1" applyProtection="1">
      <alignment horizontal="center"/>
    </xf>
    <xf numFmtId="0" fontId="1" fillId="0" borderId="13" xfId="0" applyFont="1" applyBorder="1" applyProtection="1"/>
    <xf numFmtId="165" fontId="0" fillId="0" borderId="0" xfId="0" applyNumberFormat="1" applyProtection="1"/>
    <xf numFmtId="14" fontId="0" fillId="0" borderId="0" xfId="0" applyNumberFormat="1" applyBorder="1" applyAlignment="1" applyProtection="1"/>
    <xf numFmtId="0" fontId="20" fillId="0" borderId="0" xfId="0" applyFont="1" applyBorder="1" applyAlignment="1" applyProtection="1">
      <alignment horizontal="center"/>
    </xf>
    <xf numFmtId="0" fontId="20" fillId="0" borderId="0" xfId="0" applyFont="1" applyFill="1" applyBorder="1" applyAlignment="1" applyProtection="1"/>
    <xf numFmtId="0" fontId="20" fillId="0" borderId="14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/>
    </xf>
    <xf numFmtId="49" fontId="20" fillId="0" borderId="0" xfId="0" applyNumberFormat="1" applyFont="1" applyFill="1" applyBorder="1" applyAlignment="1" applyProtection="1">
      <alignment horizontal="center"/>
    </xf>
    <xf numFmtId="0" fontId="1" fillId="0" borderId="0" xfId="0" applyFont="1" applyProtection="1"/>
    <xf numFmtId="0" fontId="25" fillId="0" borderId="0" xfId="0" applyFont="1" applyProtection="1"/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/>
    <xf numFmtId="1" fontId="1" fillId="0" borderId="0" xfId="0" applyNumberFormat="1" applyFont="1" applyFill="1" applyBorder="1" applyProtection="1"/>
    <xf numFmtId="0" fontId="1" fillId="0" borderId="0" xfId="0" applyFont="1" applyBorder="1" applyProtection="1"/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Protection="1"/>
    <xf numFmtId="0" fontId="4" fillId="2" borderId="0" xfId="0" applyFont="1" applyFill="1" applyAlignment="1" applyProtection="1">
      <alignment horizontal="right"/>
    </xf>
    <xf numFmtId="0" fontId="4" fillId="2" borderId="0" xfId="0" applyFont="1" applyFill="1" applyBorder="1" applyAlignment="1" applyProtection="1"/>
    <xf numFmtId="2" fontId="4" fillId="2" borderId="0" xfId="0" applyNumberFormat="1" applyFont="1" applyFill="1" applyBorder="1" applyProtection="1"/>
    <xf numFmtId="2" fontId="4" fillId="2" borderId="0" xfId="0" applyNumberFormat="1" applyFont="1" applyFill="1" applyProtection="1"/>
    <xf numFmtId="2" fontId="4" fillId="2" borderId="0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right"/>
    </xf>
    <xf numFmtId="1" fontId="4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right" vertical="center"/>
    </xf>
    <xf numFmtId="10" fontId="7" fillId="2" borderId="0" xfId="0" applyNumberFormat="1" applyFont="1" applyFill="1" applyBorder="1" applyAlignment="1" applyProtection="1">
      <alignment horizontal="center" vertical="center"/>
    </xf>
    <xf numFmtId="168" fontId="7" fillId="2" borderId="0" xfId="0" applyNumberFormat="1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/>
    </xf>
    <xf numFmtId="0" fontId="2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textRotation="90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0" fontId="2" fillId="0" borderId="6" xfId="0" applyFont="1" applyFill="1" applyBorder="1" applyAlignment="1" applyProtection="1">
      <alignment horizontal="left"/>
    </xf>
    <xf numFmtId="0" fontId="20" fillId="0" borderId="7" xfId="0" applyFont="1" applyBorder="1" applyProtection="1"/>
    <xf numFmtId="0" fontId="3" fillId="0" borderId="0" xfId="0" applyFont="1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3" fontId="4" fillId="0" borderId="15" xfId="0" applyNumberFormat="1" applyFont="1" applyBorder="1" applyAlignment="1" applyProtection="1">
      <alignment horizontal="right" vertical="center"/>
    </xf>
    <xf numFmtId="3" fontId="4" fillId="0" borderId="16" xfId="0" applyNumberFormat="1" applyFont="1" applyBorder="1" applyAlignment="1" applyProtection="1">
      <alignment horizontal="right" vertical="center"/>
    </xf>
    <xf numFmtId="3" fontId="4" fillId="0" borderId="17" xfId="0" applyNumberFormat="1" applyFont="1" applyBorder="1" applyAlignment="1" applyProtection="1">
      <alignment horizontal="right" vertical="center"/>
    </xf>
    <xf numFmtId="3" fontId="4" fillId="0" borderId="18" xfId="0" applyNumberFormat="1" applyFont="1" applyBorder="1" applyAlignment="1" applyProtection="1">
      <alignment horizontal="right" vertical="center"/>
    </xf>
    <xf numFmtId="3" fontId="4" fillId="0" borderId="19" xfId="0" applyNumberFormat="1" applyFont="1" applyBorder="1" applyAlignment="1" applyProtection="1">
      <alignment horizontal="right" vertical="center"/>
    </xf>
    <xf numFmtId="0" fontId="24" fillId="0" borderId="11" xfId="0" applyFont="1" applyBorder="1" applyAlignment="1" applyProtection="1">
      <alignment horizontal="right"/>
    </xf>
    <xf numFmtId="166" fontId="24" fillId="0" borderId="11" xfId="0" applyNumberFormat="1" applyFont="1" applyBorder="1" applyAlignment="1" applyProtection="1">
      <alignment horizontal="center"/>
    </xf>
    <xf numFmtId="3" fontId="20" fillId="0" borderId="1" xfId="0" applyNumberFormat="1" applyFont="1" applyBorder="1" applyAlignment="1" applyProtection="1">
      <alignment horizontal="right"/>
    </xf>
    <xf numFmtId="3" fontId="20" fillId="0" borderId="1" xfId="0" applyNumberFormat="1" applyFont="1" applyBorder="1" applyProtection="1"/>
    <xf numFmtId="2" fontId="3" fillId="0" borderId="1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center"/>
    </xf>
    <xf numFmtId="2" fontId="1" fillId="0" borderId="14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wrapText="1"/>
    </xf>
    <xf numFmtId="1" fontId="4" fillId="0" borderId="0" xfId="0" applyNumberFormat="1" applyFont="1" applyBorder="1" applyAlignment="1" applyProtection="1">
      <alignment horizontal="left"/>
    </xf>
    <xf numFmtId="0" fontId="0" fillId="0" borderId="2" xfId="0" applyFill="1" applyBorder="1" applyAlignment="1" applyProtection="1"/>
    <xf numFmtId="2" fontId="0" fillId="0" borderId="0" xfId="0" applyNumberFormat="1" applyFill="1" applyBorder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27" fillId="0" borderId="0" xfId="0" applyFont="1" applyAlignment="1" applyProtection="1">
      <alignment horizontal="center"/>
    </xf>
    <xf numFmtId="0" fontId="3" fillId="0" borderId="0" xfId="0" applyFont="1" applyFill="1" applyProtection="1"/>
    <xf numFmtId="0" fontId="4" fillId="0" borderId="1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/>
    </xf>
    <xf numFmtId="0" fontId="0" fillId="0" borderId="14" xfId="0" applyBorder="1" applyAlignment="1" applyProtection="1">
      <alignment horizontal="right" wrapText="1"/>
    </xf>
    <xf numFmtId="49" fontId="4" fillId="0" borderId="14" xfId="0" applyNumberFormat="1" applyFont="1" applyFill="1" applyBorder="1" applyAlignment="1" applyProtection="1">
      <alignment horizontal="right"/>
    </xf>
    <xf numFmtId="0" fontId="4" fillId="0" borderId="14" xfId="0" applyNumberFormat="1" applyFont="1" applyFill="1" applyBorder="1" applyAlignment="1" applyProtection="1">
      <alignment horizontal="right"/>
    </xf>
    <xf numFmtId="0" fontId="0" fillId="0" borderId="0" xfId="0" applyNumberFormat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27" fillId="0" borderId="0" xfId="0" applyNumberFormat="1" applyFont="1" applyAlignment="1" applyProtection="1">
      <alignment horizontal="center"/>
    </xf>
    <xf numFmtId="0" fontId="0" fillId="0" borderId="0" xfId="0" applyNumberFormat="1" applyProtection="1"/>
    <xf numFmtId="0" fontId="4" fillId="0" borderId="1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/>
    </xf>
    <xf numFmtId="0" fontId="0" fillId="0" borderId="14" xfId="0" applyNumberForma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14" xfId="0" applyNumberFormat="1" applyBorder="1" applyAlignment="1" applyProtection="1">
      <alignment horizontal="right" wrapText="1"/>
    </xf>
    <xf numFmtId="0" fontId="30" fillId="0" borderId="0" xfId="0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0" fontId="30" fillId="0" borderId="0" xfId="0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right" wrapText="1"/>
    </xf>
    <xf numFmtId="0" fontId="31" fillId="0" borderId="0" xfId="0" applyFont="1" applyFill="1" applyBorder="1" applyAlignment="1" applyProtection="1">
      <alignment horizontal="center"/>
    </xf>
    <xf numFmtId="1" fontId="0" fillId="0" borderId="13" xfId="0" applyNumberFormat="1" applyBorder="1" applyAlignment="1" applyProtection="1">
      <alignment vertical="center"/>
    </xf>
    <xf numFmtId="1" fontId="0" fillId="0" borderId="2" xfId="0" applyNumberFormat="1" applyBorder="1" applyAlignment="1" applyProtection="1">
      <alignment vertical="center"/>
    </xf>
    <xf numFmtId="0" fontId="16" fillId="0" borderId="0" xfId="0" applyFont="1" applyFill="1" applyAlignment="1" applyProtection="1"/>
    <xf numFmtId="2" fontId="16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>
      <alignment horizontal="center"/>
    </xf>
    <xf numFmtId="0" fontId="0" fillId="0" borderId="0" xfId="0" applyNumberFormat="1" applyAlignment="1" applyProtection="1">
      <alignment horizontal="center" wrapText="1"/>
    </xf>
    <xf numFmtId="0" fontId="1" fillId="0" borderId="24" xfId="0" applyNumberFormat="1" applyFont="1" applyFill="1" applyBorder="1" applyAlignment="1" applyProtection="1">
      <alignment horizontal="center"/>
    </xf>
    <xf numFmtId="2" fontId="1" fillId="0" borderId="25" xfId="0" applyNumberFormat="1" applyFont="1" applyFill="1" applyBorder="1" applyAlignment="1" applyProtection="1">
      <alignment horizontal="center"/>
    </xf>
    <xf numFmtId="0" fontId="0" fillId="0" borderId="2" xfId="0" applyNumberFormat="1" applyFill="1" applyBorder="1" applyAlignment="1" applyProtection="1"/>
    <xf numFmtId="0" fontId="1" fillId="0" borderId="14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0" borderId="24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2" fontId="1" fillId="0" borderId="14" xfId="0" applyNumberFormat="1" applyFont="1" applyFill="1" applyBorder="1" applyAlignment="1" applyProtection="1">
      <alignment horizontal="center"/>
    </xf>
    <xf numFmtId="14" fontId="0" fillId="0" borderId="0" xfId="0" applyNumberFormat="1" applyAlignment="1" applyProtection="1">
      <alignment horizontal="left"/>
    </xf>
    <xf numFmtId="165" fontId="0" fillId="0" borderId="0" xfId="0" applyNumberFormat="1" applyAlignment="1" applyProtection="1">
      <alignment horizontal="center"/>
    </xf>
    <xf numFmtId="0" fontId="4" fillId="0" borderId="25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30" fillId="0" borderId="1" xfId="0" applyNumberFormat="1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Protection="1">
      <protection locked="0"/>
    </xf>
    <xf numFmtId="2" fontId="32" fillId="2" borderId="0" xfId="0" applyNumberFormat="1" applyFont="1" applyFill="1" applyBorder="1" applyAlignment="1" applyProtection="1"/>
    <xf numFmtId="0" fontId="32" fillId="2" borderId="0" xfId="0" applyFont="1" applyFill="1" applyBorder="1" applyAlignment="1" applyProtection="1">
      <alignment horizontal="right"/>
    </xf>
    <xf numFmtId="2" fontId="32" fillId="2" borderId="0" xfId="0" applyNumberFormat="1" applyFont="1" applyFill="1" applyBorder="1" applyAlignment="1" applyProtection="1">
      <alignment horizontal="right"/>
    </xf>
    <xf numFmtId="0" fontId="33" fillId="2" borderId="0" xfId="0" applyFont="1" applyFill="1" applyProtection="1"/>
    <xf numFmtId="0" fontId="34" fillId="2" borderId="0" xfId="0" applyFont="1" applyFill="1" applyProtection="1"/>
    <xf numFmtId="2" fontId="10" fillId="0" borderId="26" xfId="0" applyNumberFormat="1" applyFont="1" applyFill="1" applyBorder="1" applyProtection="1"/>
    <xf numFmtId="0" fontId="3" fillId="0" borderId="3" xfId="0" applyFont="1" applyBorder="1" applyAlignment="1" applyProtection="1">
      <alignment horizontal="right" vertical="center"/>
    </xf>
    <xf numFmtId="0" fontId="33" fillId="2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/>
    </xf>
    <xf numFmtId="0" fontId="4" fillId="0" borderId="0" xfId="0" applyFont="1" applyFill="1" applyProtection="1"/>
    <xf numFmtId="0" fontId="32" fillId="2" borderId="0" xfId="0" applyFont="1" applyFill="1" applyProtection="1"/>
    <xf numFmtId="9" fontId="32" fillId="2" borderId="0" xfId="0" applyNumberFormat="1" applyFont="1" applyFill="1" applyProtection="1"/>
    <xf numFmtId="0" fontId="0" fillId="0" borderId="10" xfId="0" applyFill="1" applyBorder="1" applyAlignment="1" applyProtection="1"/>
    <xf numFmtId="0" fontId="0" fillId="0" borderId="12" xfId="0" applyFill="1" applyBorder="1" applyAlignment="1" applyProtection="1"/>
    <xf numFmtId="3" fontId="8" fillId="0" borderId="1" xfId="0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/>
    <xf numFmtId="0" fontId="3" fillId="2" borderId="0" xfId="0" applyFont="1" applyFill="1" applyBorder="1" applyAlignment="1" applyProtection="1">
      <alignment horizontal="right"/>
    </xf>
    <xf numFmtId="0" fontId="9" fillId="2" borderId="0" xfId="0" applyFont="1" applyFill="1" applyProtection="1"/>
    <xf numFmtId="3" fontId="4" fillId="0" borderId="27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2" fontId="4" fillId="0" borderId="25" xfId="0" applyNumberFormat="1" applyFont="1" applyFill="1" applyBorder="1" applyAlignment="1" applyProtection="1">
      <alignment horizontal="center"/>
    </xf>
    <xf numFmtId="2" fontId="4" fillId="0" borderId="1" xfId="0" applyNumberFormat="1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/>
    </xf>
    <xf numFmtId="0" fontId="4" fillId="0" borderId="30" xfId="0" applyFont="1" applyFill="1" applyBorder="1" applyProtection="1"/>
    <xf numFmtId="0" fontId="3" fillId="0" borderId="30" xfId="0" applyFont="1" applyFill="1" applyBorder="1" applyAlignment="1" applyProtection="1"/>
    <xf numFmtId="0" fontId="3" fillId="0" borderId="30" xfId="0" applyFont="1" applyFill="1" applyBorder="1" applyProtection="1"/>
    <xf numFmtId="0" fontId="4" fillId="0" borderId="31" xfId="0" applyFont="1" applyFill="1" applyBorder="1" applyProtection="1"/>
    <xf numFmtId="0" fontId="4" fillId="0" borderId="31" xfId="0" applyFont="1" applyFill="1" applyBorder="1" applyAlignment="1" applyProtection="1">
      <alignment horizont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Protection="1"/>
    <xf numFmtId="0" fontId="36" fillId="2" borderId="0" xfId="0" applyFont="1" applyFill="1" applyBorder="1" applyAlignment="1" applyProtection="1">
      <alignment horizontal="center" vertical="center"/>
    </xf>
    <xf numFmtId="0" fontId="36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Protection="1"/>
    <xf numFmtId="0" fontId="36" fillId="2" borderId="0" xfId="0" applyFont="1" applyFill="1" applyBorder="1" applyAlignment="1" applyProtection="1">
      <alignment horizontal="center"/>
    </xf>
    <xf numFmtId="2" fontId="8" fillId="2" borderId="0" xfId="0" applyNumberFormat="1" applyFont="1" applyFill="1" applyBorder="1" applyAlignment="1" applyProtection="1">
      <alignment horizontal="center"/>
    </xf>
    <xf numFmtId="0" fontId="38" fillId="2" borderId="0" xfId="0" applyFont="1" applyFill="1" applyBorder="1" applyAlignment="1" applyProtection="1">
      <alignment horizontal="center"/>
    </xf>
    <xf numFmtId="0" fontId="38" fillId="2" borderId="0" xfId="0" applyFont="1" applyFill="1" applyBorder="1" applyAlignment="1" applyProtection="1"/>
    <xf numFmtId="0" fontId="8" fillId="2" borderId="0" xfId="0" applyFont="1" applyFill="1" applyBorder="1" applyAlignment="1" applyProtection="1"/>
    <xf numFmtId="0" fontId="38" fillId="2" borderId="0" xfId="0" applyFont="1" applyFill="1" applyProtection="1"/>
    <xf numFmtId="2" fontId="8" fillId="2" borderId="0" xfId="0" applyNumberFormat="1" applyFont="1" applyFill="1" applyBorder="1" applyProtection="1"/>
    <xf numFmtId="0" fontId="8" fillId="2" borderId="0" xfId="0" applyFont="1" applyFill="1" applyBorder="1" applyAlignment="1" applyProtection="1">
      <alignment horizontal="center"/>
    </xf>
    <xf numFmtId="0" fontId="38" fillId="2" borderId="33" xfId="0" applyFont="1" applyFill="1" applyBorder="1" applyAlignment="1" applyProtection="1">
      <alignment horizontal="center" vertical="center" wrapText="1"/>
    </xf>
    <xf numFmtId="0" fontId="8" fillId="2" borderId="33" xfId="0" applyFont="1" applyFill="1" applyBorder="1" applyAlignment="1" applyProtection="1">
      <alignment horizontal="center" vertical="center"/>
    </xf>
    <xf numFmtId="0" fontId="4" fillId="0" borderId="34" xfId="0" applyFont="1" applyBorder="1" applyProtection="1"/>
    <xf numFmtId="167" fontId="4" fillId="0" borderId="3" xfId="0" applyNumberFormat="1" applyFont="1" applyBorder="1" applyProtection="1"/>
    <xf numFmtId="165" fontId="4" fillId="0" borderId="3" xfId="0" applyNumberFormat="1" applyFont="1" applyBorder="1" applyProtection="1"/>
    <xf numFmtId="2" fontId="4" fillId="0" borderId="0" xfId="0" applyNumberFormat="1" applyFont="1" applyBorder="1" applyProtection="1"/>
    <xf numFmtId="2" fontId="4" fillId="0" borderId="3" xfId="0" applyNumberFormat="1" applyFont="1" applyBorder="1" applyProtection="1"/>
    <xf numFmtId="0" fontId="3" fillId="0" borderId="0" xfId="0" applyFont="1" applyBorder="1" applyAlignment="1" applyProtection="1">
      <alignment horizontal="center"/>
    </xf>
    <xf numFmtId="0" fontId="20" fillId="2" borderId="0" xfId="0" applyFont="1" applyFill="1" applyProtection="1"/>
    <xf numFmtId="0" fontId="0" fillId="2" borderId="0" xfId="0" applyFill="1" applyProtection="1"/>
    <xf numFmtId="0" fontId="12" fillId="0" borderId="0" xfId="0" applyFont="1" applyProtection="1"/>
    <xf numFmtId="165" fontId="12" fillId="0" borderId="0" xfId="0" applyNumberFormat="1" applyFont="1" applyProtection="1"/>
    <xf numFmtId="0" fontId="12" fillId="0" borderId="0" xfId="0" applyFont="1" applyFill="1" applyProtection="1"/>
    <xf numFmtId="0" fontId="39" fillId="0" borderId="0" xfId="0" applyFont="1" applyProtection="1"/>
    <xf numFmtId="0" fontId="40" fillId="0" borderId="0" xfId="0" applyFont="1" applyAlignment="1" applyProtection="1">
      <alignment horizontal="center" wrapText="1"/>
    </xf>
    <xf numFmtId="0" fontId="12" fillId="0" borderId="0" xfId="0" applyFont="1" applyAlignment="1" applyProtection="1">
      <alignment horizontal="center"/>
    </xf>
    <xf numFmtId="165" fontId="20" fillId="0" borderId="3" xfId="0" applyNumberFormat="1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center" wrapText="1"/>
    </xf>
    <xf numFmtId="0" fontId="9" fillId="0" borderId="28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left"/>
    </xf>
    <xf numFmtId="0" fontId="9" fillId="0" borderId="0" xfId="0" applyFont="1" applyFill="1" applyProtection="1"/>
    <xf numFmtId="0" fontId="4" fillId="0" borderId="0" xfId="0" applyFont="1" applyAlignment="1" applyProtection="1"/>
    <xf numFmtId="0" fontId="41" fillId="0" borderId="0" xfId="0" applyFont="1" applyProtection="1"/>
    <xf numFmtId="0" fontId="42" fillId="0" borderId="0" xfId="0" applyFont="1" applyProtection="1"/>
    <xf numFmtId="1" fontId="20" fillId="0" borderId="2" xfId="0" applyNumberFormat="1" applyFont="1" applyBorder="1" applyAlignment="1" applyProtection="1">
      <alignment horizontal="right"/>
    </xf>
    <xf numFmtId="0" fontId="39" fillId="0" borderId="1" xfId="0" applyFont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</xf>
    <xf numFmtId="0" fontId="2" fillId="0" borderId="35" xfId="0" applyFont="1" applyBorder="1" applyAlignment="1" applyProtection="1">
      <alignment horizontal="center"/>
    </xf>
    <xf numFmtId="0" fontId="12" fillId="0" borderId="0" xfId="0" applyFont="1" applyFill="1" applyAlignment="1" applyProtection="1">
      <alignment horizontal="center"/>
    </xf>
    <xf numFmtId="165" fontId="20" fillId="0" borderId="9" xfId="0" applyNumberFormat="1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left"/>
    </xf>
    <xf numFmtId="165" fontId="20" fillId="0" borderId="25" xfId="0" applyNumberFormat="1" applyFont="1" applyBorder="1" applyAlignment="1" applyProtection="1">
      <alignment horizontal="center"/>
    </xf>
    <xf numFmtId="0" fontId="20" fillId="0" borderId="36" xfId="0" applyFont="1" applyBorder="1" applyProtection="1"/>
    <xf numFmtId="0" fontId="20" fillId="0" borderId="37" xfId="0" applyFont="1" applyBorder="1" applyProtection="1"/>
    <xf numFmtId="0" fontId="26" fillId="0" borderId="37" xfId="0" applyFont="1" applyBorder="1" applyAlignment="1" applyProtection="1">
      <alignment wrapText="1"/>
    </xf>
    <xf numFmtId="0" fontId="20" fillId="0" borderId="14" xfId="0" applyFont="1" applyBorder="1" applyProtection="1"/>
    <xf numFmtId="0" fontId="20" fillId="0" borderId="3" xfId="0" applyFont="1" applyBorder="1" applyProtection="1"/>
    <xf numFmtId="0" fontId="33" fillId="2" borderId="0" xfId="0" applyFont="1" applyFill="1" applyAlignment="1" applyProtection="1"/>
    <xf numFmtId="0" fontId="4" fillId="2" borderId="0" xfId="0" applyFont="1" applyFill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wrapText="1"/>
    </xf>
    <xf numFmtId="0" fontId="4" fillId="0" borderId="23" xfId="0" applyFont="1" applyBorder="1" applyProtection="1"/>
    <xf numFmtId="0" fontId="14" fillId="0" borderId="40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center"/>
    </xf>
    <xf numFmtId="2" fontId="2" fillId="0" borderId="41" xfId="0" applyNumberFormat="1" applyFont="1" applyBorder="1" applyAlignment="1" applyProtection="1">
      <alignment horizontal="center"/>
    </xf>
    <xf numFmtId="2" fontId="2" fillId="0" borderId="42" xfId="0" applyNumberFormat="1" applyFont="1" applyBorder="1" applyAlignment="1" applyProtection="1">
      <alignment horizont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0" fillId="2" borderId="0" xfId="0" applyFill="1" applyAlignment="1" applyProtection="1"/>
    <xf numFmtId="0" fontId="12" fillId="2" borderId="0" xfId="0" applyFont="1" applyFill="1" applyAlignment="1" applyProtection="1"/>
    <xf numFmtId="0" fontId="0" fillId="0" borderId="1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1" fontId="15" fillId="0" borderId="25" xfId="0" applyNumberFormat="1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2" borderId="0" xfId="0" applyFill="1" applyAlignment="1" applyProtection="1">
      <alignment horizontal="left"/>
    </xf>
    <xf numFmtId="0" fontId="9" fillId="0" borderId="5" xfId="0" applyFont="1" applyBorder="1" applyAlignment="1" applyProtection="1">
      <alignment horizontal="left" vertical="center"/>
    </xf>
    <xf numFmtId="0" fontId="20" fillId="0" borderId="14" xfId="0" applyFont="1" applyBorder="1" applyAlignment="1" applyProtection="1">
      <alignment horizontal="left"/>
    </xf>
    <xf numFmtId="0" fontId="9" fillId="0" borderId="44" xfId="0" applyFont="1" applyBorder="1" applyAlignment="1" applyProtection="1">
      <alignment horizontal="left" vertical="center"/>
    </xf>
    <xf numFmtId="0" fontId="0" fillId="0" borderId="13" xfId="0" applyBorder="1" applyAlignment="1" applyProtection="1"/>
    <xf numFmtId="0" fontId="0" fillId="0" borderId="10" xfId="0" applyBorder="1" applyAlignment="1" applyProtection="1"/>
    <xf numFmtId="0" fontId="0" fillId="0" borderId="12" xfId="0" applyBorder="1" applyAlignment="1" applyProtection="1"/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65" fontId="39" fillId="0" borderId="2" xfId="0" applyNumberFormat="1" applyFont="1" applyBorder="1" applyAlignment="1" applyProtection="1">
      <alignment horizontal="center"/>
    </xf>
    <xf numFmtId="0" fontId="20" fillId="0" borderId="21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</xf>
    <xf numFmtId="0" fontId="0" fillId="0" borderId="0" xfId="0" applyFill="1" applyAlignment="1" applyProtection="1"/>
    <xf numFmtId="166" fontId="4" fillId="0" borderId="1" xfId="0" applyNumberFormat="1" applyFont="1" applyBorder="1" applyAlignment="1" applyProtection="1">
      <alignment horizontal="center"/>
    </xf>
    <xf numFmtId="10" fontId="4" fillId="0" borderId="25" xfId="0" applyNumberFormat="1" applyFont="1" applyBorder="1" applyProtection="1"/>
    <xf numFmtId="166" fontId="4" fillId="0" borderId="25" xfId="0" applyNumberFormat="1" applyFont="1" applyBorder="1" applyAlignment="1" applyProtection="1">
      <alignment horizontal="center"/>
    </xf>
    <xf numFmtId="0" fontId="4" fillId="0" borderId="14" xfId="0" applyFont="1" applyBorder="1" applyProtection="1"/>
    <xf numFmtId="0" fontId="32" fillId="0" borderId="0" xfId="0" applyFont="1" applyFill="1" applyProtection="1"/>
    <xf numFmtId="165" fontId="9" fillId="0" borderId="28" xfId="0" applyNumberFormat="1" applyFont="1" applyBorder="1" applyAlignment="1" applyProtection="1">
      <alignment horizontal="right"/>
    </xf>
    <xf numFmtId="0" fontId="20" fillId="0" borderId="25" xfId="0" applyFont="1" applyBorder="1" applyAlignment="1" applyProtection="1">
      <alignment horizontal="right"/>
    </xf>
    <xf numFmtId="0" fontId="9" fillId="0" borderId="45" xfId="0" applyFont="1" applyBorder="1" applyAlignment="1" applyProtection="1">
      <alignment horizontal="left" vertical="center"/>
    </xf>
    <xf numFmtId="0" fontId="9" fillId="0" borderId="45" xfId="0" applyFont="1" applyBorder="1" applyAlignment="1" applyProtection="1">
      <alignment horizontal="left"/>
    </xf>
    <xf numFmtId="165" fontId="20" fillId="0" borderId="8" xfId="0" applyNumberFormat="1" applyFont="1" applyBorder="1" applyAlignment="1" applyProtection="1">
      <alignment horizontal="center"/>
    </xf>
    <xf numFmtId="0" fontId="1" fillId="0" borderId="46" xfId="0" applyFont="1" applyBorder="1" applyProtection="1"/>
    <xf numFmtId="0" fontId="20" fillId="0" borderId="14" xfId="0" applyFont="1" applyBorder="1" applyAlignment="1" applyProtection="1"/>
    <xf numFmtId="0" fontId="20" fillId="0" borderId="3" xfId="0" applyFont="1" applyBorder="1" applyAlignment="1" applyProtection="1"/>
    <xf numFmtId="0" fontId="20" fillId="0" borderId="36" xfId="0" applyFont="1" applyBorder="1" applyAlignment="1" applyProtection="1"/>
    <xf numFmtId="0" fontId="20" fillId="0" borderId="37" xfId="0" applyFont="1" applyBorder="1" applyAlignment="1" applyProtection="1"/>
    <xf numFmtId="0" fontId="9" fillId="0" borderId="45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47" xfId="0" applyFont="1" applyBorder="1" applyAlignment="1" applyProtection="1">
      <alignment horizontal="left" vertical="center"/>
    </xf>
    <xf numFmtId="165" fontId="9" fillId="0" borderId="0" xfId="0" applyNumberFormat="1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/>
    <xf numFmtId="0" fontId="9" fillId="0" borderId="0" xfId="0" applyFont="1" applyBorder="1" applyAlignment="1" applyProtection="1"/>
    <xf numFmtId="0" fontId="9" fillId="5" borderId="1" xfId="0" applyFont="1" applyFill="1" applyBorder="1" applyAlignment="1" applyProtection="1">
      <alignment horizontal="right" vertical="center"/>
    </xf>
    <xf numFmtId="3" fontId="2" fillId="0" borderId="3" xfId="0" applyNumberFormat="1" applyFont="1" applyBorder="1" applyAlignment="1" applyProtection="1">
      <alignment horizontal="left"/>
    </xf>
    <xf numFmtId="164" fontId="20" fillId="0" borderId="0" xfId="0" applyNumberFormat="1" applyFont="1" applyBorder="1" applyAlignment="1" applyProtection="1"/>
    <xf numFmtId="0" fontId="9" fillId="5" borderId="49" xfId="0" applyFont="1" applyFill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center" vertical="center" textRotation="90" wrapText="1"/>
    </xf>
    <xf numFmtId="0" fontId="0" fillId="0" borderId="0" xfId="0" applyBorder="1" applyAlignment="1" applyProtection="1">
      <alignment wrapText="1"/>
    </xf>
    <xf numFmtId="2" fontId="12" fillId="3" borderId="0" xfId="0" applyNumberFormat="1" applyFont="1" applyFill="1" applyBorder="1" applyProtection="1"/>
    <xf numFmtId="3" fontId="8" fillId="0" borderId="2" xfId="0" applyNumberFormat="1" applyFont="1" applyFill="1" applyBorder="1" applyAlignment="1" applyProtection="1">
      <alignment horizontal="right"/>
    </xf>
    <xf numFmtId="0" fontId="36" fillId="2" borderId="0" xfId="0" applyNumberFormat="1" applyFont="1" applyFill="1" applyBorder="1" applyAlignment="1" applyProtection="1">
      <alignment horizontal="center"/>
    </xf>
    <xf numFmtId="165" fontId="20" fillId="0" borderId="0" xfId="0" applyNumberFormat="1" applyFont="1" applyAlignment="1" applyProtection="1">
      <alignment horizontal="center"/>
    </xf>
    <xf numFmtId="0" fontId="45" fillId="0" borderId="1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2" fontId="3" fillId="0" borderId="1" xfId="0" applyNumberFormat="1" applyFont="1" applyBorder="1" applyAlignment="1" applyProtection="1">
      <alignment horizontal="center"/>
    </xf>
    <xf numFmtId="165" fontId="47" fillId="0" borderId="1" xfId="0" applyNumberFormat="1" applyFont="1" applyBorder="1" applyAlignment="1" applyProtection="1">
      <alignment horizontal="center"/>
    </xf>
    <xf numFmtId="167" fontId="4" fillId="0" borderId="14" xfId="0" applyNumberFormat="1" applyFont="1" applyBorder="1" applyProtection="1"/>
    <xf numFmtId="0" fontId="2" fillId="0" borderId="41" xfId="0" applyFont="1" applyBorder="1" applyAlignment="1" applyProtection="1">
      <alignment horizontal="center" vertical="center" wrapText="1"/>
    </xf>
    <xf numFmtId="2" fontId="8" fillId="2" borderId="0" xfId="0" applyNumberFormat="1" applyFont="1" applyFill="1" applyAlignment="1" applyProtection="1">
      <alignment horizontal="center"/>
    </xf>
    <xf numFmtId="2" fontId="2" fillId="0" borderId="43" xfId="0" applyNumberFormat="1" applyFont="1" applyBorder="1" applyAlignment="1" applyProtection="1">
      <alignment horizontal="right"/>
    </xf>
    <xf numFmtId="0" fontId="0" fillId="0" borderId="2" xfId="0" applyBorder="1" applyAlignment="1">
      <alignment horizontal="center"/>
    </xf>
    <xf numFmtId="0" fontId="3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31" fillId="0" borderId="0" xfId="0" applyFont="1" applyAlignment="1" applyProtection="1">
      <alignment horizontal="center" vertical="top"/>
    </xf>
    <xf numFmtId="0" fontId="28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1" fillId="0" borderId="0" xfId="0" applyNumberFormat="1" applyFont="1" applyAlignment="1" applyProtection="1">
      <alignment horizontal="center"/>
    </xf>
    <xf numFmtId="165" fontId="18" fillId="0" borderId="0" xfId="0" applyNumberFormat="1" applyFont="1" applyBorder="1" applyAlignment="1" applyProtection="1"/>
    <xf numFmtId="0" fontId="18" fillId="0" borderId="0" xfId="0" applyFont="1" applyProtection="1"/>
    <xf numFmtId="0" fontId="18" fillId="0" borderId="0" xfId="0" applyFont="1" applyBorder="1" applyAlignment="1" applyProtection="1">
      <alignment horizontal="right" vertical="center"/>
    </xf>
    <xf numFmtId="0" fontId="18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9" fillId="0" borderId="1" xfId="0" applyFont="1" applyBorder="1" applyAlignment="1" applyProtection="1">
      <alignment horizontal="center"/>
    </xf>
    <xf numFmtId="165" fontId="20" fillId="0" borderId="14" xfId="0" applyNumberFormat="1" applyFont="1" applyBorder="1" applyAlignment="1" applyProtection="1">
      <alignment horizontal="center"/>
    </xf>
    <xf numFmtId="0" fontId="12" fillId="0" borderId="23" xfId="0" applyFont="1" applyFill="1" applyBorder="1" applyProtection="1"/>
    <xf numFmtId="0" fontId="3" fillId="0" borderId="25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 vertical="center"/>
    </xf>
    <xf numFmtId="3" fontId="4" fillId="0" borderId="0" xfId="0" applyNumberFormat="1" applyFont="1" applyProtection="1"/>
    <xf numFmtId="0" fontId="38" fillId="2" borderId="55" xfId="0" applyFont="1" applyFill="1" applyBorder="1" applyProtection="1"/>
    <xf numFmtId="0" fontId="38" fillId="2" borderId="56" xfId="0" applyFont="1" applyFill="1" applyBorder="1" applyProtection="1"/>
    <xf numFmtId="0" fontId="38" fillId="2" borderId="56" xfId="0" applyFont="1" applyFill="1" applyBorder="1" applyAlignment="1" applyProtection="1">
      <alignment horizontal="center"/>
    </xf>
    <xf numFmtId="0" fontId="38" fillId="2" borderId="57" xfId="0" applyFont="1" applyFill="1" applyBorder="1" applyAlignment="1" applyProtection="1">
      <alignment horizontal="left"/>
    </xf>
    <xf numFmtId="0" fontId="38" fillId="2" borderId="58" xfId="0" applyFont="1" applyFill="1" applyBorder="1" applyProtection="1"/>
    <xf numFmtId="0" fontId="38" fillId="2" borderId="0" xfId="0" applyFont="1" applyFill="1" applyBorder="1" applyProtection="1"/>
    <xf numFmtId="0" fontId="4" fillId="2" borderId="59" xfId="0" applyFont="1" applyFill="1" applyBorder="1" applyProtection="1"/>
    <xf numFmtId="0" fontId="38" fillId="2" borderId="60" xfId="0" applyFont="1" applyFill="1" applyBorder="1" applyProtection="1"/>
    <xf numFmtId="0" fontId="38" fillId="2" borderId="61" xfId="0" applyFont="1" applyFill="1" applyBorder="1" applyProtection="1"/>
    <xf numFmtId="0" fontId="38" fillId="2" borderId="61" xfId="0" applyFont="1" applyFill="1" applyBorder="1" applyAlignment="1" applyProtection="1">
      <alignment horizontal="center"/>
    </xf>
    <xf numFmtId="0" fontId="4" fillId="2" borderId="62" xfId="0" applyFont="1" applyFill="1" applyBorder="1" applyProtection="1"/>
    <xf numFmtId="2" fontId="0" fillId="0" borderId="0" xfId="0" applyNumberFormat="1" applyBorder="1" applyProtection="1"/>
    <xf numFmtId="2" fontId="12" fillId="0" borderId="0" xfId="0" applyNumberFormat="1" applyFont="1" applyProtection="1"/>
    <xf numFmtId="49" fontId="4" fillId="0" borderId="14" xfId="0" applyNumberFormat="1" applyFont="1" applyFill="1" applyBorder="1" applyAlignment="1" applyProtection="1">
      <alignment horizontal="right"/>
      <protection locked="0"/>
    </xf>
    <xf numFmtId="0" fontId="12" fillId="2" borderId="63" xfId="0" applyFont="1" applyFill="1" applyBorder="1" applyProtection="1">
      <protection locked="0"/>
    </xf>
    <xf numFmtId="0" fontId="12" fillId="2" borderId="63" xfId="0" applyFont="1" applyFill="1" applyBorder="1" applyAlignment="1" applyProtection="1">
      <alignment horizontal="right"/>
      <protection locked="0"/>
    </xf>
    <xf numFmtId="0" fontId="12" fillId="2" borderId="64" xfId="0" applyFont="1" applyFill="1" applyBorder="1" applyProtection="1">
      <protection locked="0"/>
    </xf>
    <xf numFmtId="0" fontId="12" fillId="2" borderId="65" xfId="0" applyFont="1" applyFill="1" applyBorder="1" applyAlignment="1" applyProtection="1">
      <alignment horizontal="right"/>
      <protection locked="0"/>
    </xf>
    <xf numFmtId="0" fontId="12" fillId="2" borderId="66" xfId="0" applyFont="1" applyFill="1" applyBorder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4" fillId="0" borderId="0" xfId="2" applyFont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/>
    <xf numFmtId="0" fontId="4" fillId="0" borderId="0" xfId="0" applyFont="1" applyAlignment="1" applyProtection="1">
      <protection locked="0"/>
    </xf>
    <xf numFmtId="2" fontId="4" fillId="0" borderId="0" xfId="2" applyNumberFormat="1" applyFont="1" applyFill="1" applyBorder="1" applyAlignment="1" applyProtection="1">
      <protection locked="0"/>
    </xf>
    <xf numFmtId="0" fontId="4" fillId="0" borderId="0" xfId="2" applyFont="1" applyBorder="1" applyAlignment="1" applyProtection="1">
      <protection locked="0"/>
    </xf>
    <xf numFmtId="49" fontId="4" fillId="0" borderId="0" xfId="2" applyNumberFormat="1" applyFont="1" applyFill="1" applyBorder="1" applyAlignment="1" applyProtection="1">
      <protection locked="0"/>
    </xf>
    <xf numFmtId="2" fontId="4" fillId="0" borderId="0" xfId="0" applyNumberFormat="1" applyFont="1" applyFill="1" applyBorder="1" applyAlignment="1" applyProtection="1">
      <protection locked="0"/>
    </xf>
    <xf numFmtId="165" fontId="4" fillId="0" borderId="0" xfId="0" applyNumberFormat="1" applyFont="1" applyFill="1" applyBorder="1" applyAlignment="1" applyProtection="1">
      <protection locked="0"/>
    </xf>
    <xf numFmtId="10" fontId="3" fillId="0" borderId="12" xfId="0" applyNumberFormat="1" applyFont="1" applyFill="1" applyBorder="1" applyAlignment="1" applyProtection="1">
      <alignment horizontal="center" vertical="center"/>
    </xf>
    <xf numFmtId="3" fontId="4" fillId="0" borderId="28" xfId="0" applyNumberFormat="1" applyFont="1" applyFill="1" applyBorder="1" applyAlignment="1" applyProtection="1">
      <alignment horizontal="right" vertical="center"/>
    </xf>
    <xf numFmtId="3" fontId="4" fillId="0" borderId="25" xfId="0" applyNumberFormat="1" applyFont="1" applyFill="1" applyBorder="1" applyAlignment="1" applyProtection="1">
      <alignment horizontal="right" vertical="center"/>
    </xf>
    <xf numFmtId="3" fontId="4" fillId="0" borderId="27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/>
    <xf numFmtId="10" fontId="4" fillId="0" borderId="0" xfId="0" applyNumberFormat="1" applyFont="1" applyFill="1" applyBorder="1" applyAlignment="1" applyProtection="1">
      <alignment horizontal="left"/>
    </xf>
    <xf numFmtId="10" fontId="0" fillId="0" borderId="0" xfId="0" applyNumberFormat="1" applyFill="1" applyBorder="1" applyAlignment="1" applyProtection="1">
      <alignment horizontal="left"/>
    </xf>
    <xf numFmtId="11" fontId="4" fillId="0" borderId="0" xfId="0" applyNumberFormat="1" applyFont="1" applyFill="1" applyBorder="1" applyAlignment="1" applyProtection="1">
      <alignment horizontal="left"/>
    </xf>
    <xf numFmtId="11" fontId="0" fillId="0" borderId="0" xfId="0" applyNumberFormat="1" applyFill="1" applyBorder="1" applyAlignment="1" applyProtection="1">
      <alignment horizontal="left"/>
    </xf>
    <xf numFmtId="0" fontId="3" fillId="0" borderId="0" xfId="0" applyFont="1" applyFill="1" applyBorder="1" applyProtection="1"/>
    <xf numFmtId="0" fontId="18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0" fontId="5" fillId="0" borderId="0" xfId="0" applyFont="1" applyFill="1" applyBorder="1" applyProtection="1"/>
    <xf numFmtId="2" fontId="8" fillId="0" borderId="0" xfId="0" applyNumberFormat="1" applyFon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>
      <alignment horizontal="left"/>
    </xf>
    <xf numFmtId="0" fontId="4" fillId="0" borderId="10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  <protection locked="0"/>
    </xf>
    <xf numFmtId="0" fontId="4" fillId="0" borderId="24" xfId="0" applyFont="1" applyBorder="1" applyAlignment="1" applyProtection="1">
      <alignment horizontal="center" vertical="center"/>
    </xf>
    <xf numFmtId="49" fontId="4" fillId="0" borderId="68" xfId="0" applyNumberFormat="1" applyFont="1" applyBorder="1" applyAlignment="1" applyProtection="1">
      <alignment horizontal="center"/>
      <protection locked="0"/>
    </xf>
    <xf numFmtId="49" fontId="4" fillId="0" borderId="68" xfId="0" applyNumberFormat="1" applyFont="1" applyFill="1" applyBorder="1" applyAlignment="1" applyProtection="1">
      <alignment horizontal="center"/>
      <protection locked="0"/>
    </xf>
    <xf numFmtId="0" fontId="4" fillId="0" borderId="70" xfId="0" applyFont="1" applyFill="1" applyBorder="1" applyAlignment="1" applyProtection="1">
      <alignment horizontal="center" vertical="center"/>
      <protection locked="0"/>
    </xf>
    <xf numFmtId="49" fontId="4" fillId="0" borderId="71" xfId="0" applyNumberFormat="1" applyFont="1" applyBorder="1" applyAlignment="1" applyProtection="1">
      <alignment horizontal="center"/>
      <protection locked="0"/>
    </xf>
    <xf numFmtId="2" fontId="3" fillId="0" borderId="3" xfId="0" applyNumberFormat="1" applyFont="1" applyFill="1" applyBorder="1" applyAlignment="1" applyProtection="1">
      <alignment horizontal="center"/>
    </xf>
    <xf numFmtId="0" fontId="0" fillId="0" borderId="68" xfId="0" applyBorder="1" applyAlignment="1" applyProtection="1">
      <alignment horizontal="center" wrapText="1"/>
      <protection locked="0"/>
    </xf>
    <xf numFmtId="2" fontId="3" fillId="0" borderId="25" xfId="0" applyNumberFormat="1" applyFont="1" applyFill="1" applyBorder="1" applyAlignment="1" applyProtection="1">
      <alignment horizontal="center"/>
    </xf>
    <xf numFmtId="14" fontId="0" fillId="0" borderId="68" xfId="0" applyNumberFormat="1" applyBorder="1" applyAlignment="1" applyProtection="1">
      <alignment horizontal="left"/>
      <protection locked="0"/>
    </xf>
    <xf numFmtId="14" fontId="4" fillId="0" borderId="68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Fill="1" applyBorder="1" applyAlignment="1" applyProtection="1">
      <alignment horizontal="center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/>
    </xf>
    <xf numFmtId="3" fontId="4" fillId="0" borderId="37" xfId="0" applyNumberFormat="1" applyFont="1" applyBorder="1" applyAlignment="1" applyProtection="1">
      <alignment vertical="center"/>
    </xf>
    <xf numFmtId="3" fontId="4" fillId="0" borderId="3" xfId="0" applyNumberFormat="1" applyFont="1" applyBorder="1" applyAlignment="1" applyProtection="1">
      <alignment vertical="center"/>
    </xf>
    <xf numFmtId="3" fontId="4" fillId="0" borderId="38" xfId="0" applyNumberFormat="1" applyFont="1" applyBorder="1" applyAlignment="1" applyProtection="1">
      <alignment vertical="center"/>
    </xf>
    <xf numFmtId="3" fontId="4" fillId="0" borderId="37" xfId="0" applyNumberFormat="1" applyFont="1" applyBorder="1" applyAlignment="1" applyProtection="1">
      <alignment horizontal="right" vertical="center"/>
    </xf>
    <xf numFmtId="3" fontId="4" fillId="0" borderId="3" xfId="0" applyNumberFormat="1" applyFont="1" applyBorder="1" applyAlignment="1" applyProtection="1">
      <alignment horizontal="right" vertical="center"/>
    </xf>
    <xf numFmtId="3" fontId="4" fillId="0" borderId="38" xfId="0" applyNumberFormat="1" applyFont="1" applyBorder="1" applyAlignment="1" applyProtection="1">
      <alignment horizontal="right" vertical="center"/>
    </xf>
    <xf numFmtId="3" fontId="4" fillId="0" borderId="9" xfId="0" applyNumberFormat="1" applyFont="1" applyBorder="1" applyAlignment="1" applyProtection="1">
      <alignment horizontal="right" vertical="center"/>
    </xf>
    <xf numFmtId="3" fontId="4" fillId="0" borderId="11" xfId="0" applyNumberFormat="1" applyFont="1" applyBorder="1" applyAlignment="1" applyProtection="1">
      <alignment horizontal="right" vertical="center"/>
    </xf>
    <xf numFmtId="3" fontId="4" fillId="0" borderId="72" xfId="0" applyNumberFormat="1" applyFont="1" applyBorder="1" applyAlignment="1" applyProtection="1">
      <alignment horizontal="right" vertical="center"/>
    </xf>
    <xf numFmtId="3" fontId="4" fillId="0" borderId="14" xfId="0" applyNumberFormat="1" applyFont="1" applyBorder="1" applyAlignment="1" applyProtection="1">
      <alignment horizontal="right" vertical="center"/>
    </xf>
    <xf numFmtId="3" fontId="4" fillId="0" borderId="48" xfId="0" applyNumberFormat="1" applyFont="1" applyBorder="1" applyAlignment="1" applyProtection="1">
      <alignment horizontal="right" vertical="center"/>
    </xf>
    <xf numFmtId="3" fontId="4" fillId="0" borderId="8" xfId="0" applyNumberFormat="1" applyFont="1" applyBorder="1" applyAlignment="1" applyProtection="1">
      <alignment horizontal="right" vertical="center"/>
    </xf>
    <xf numFmtId="3" fontId="4" fillId="0" borderId="40" xfId="0" applyNumberFormat="1" applyFont="1" applyBorder="1" applyAlignment="1" applyProtection="1">
      <alignment horizontal="right" vertical="center"/>
    </xf>
    <xf numFmtId="2" fontId="4" fillId="0" borderId="73" xfId="0" applyNumberFormat="1" applyFont="1" applyBorder="1" applyAlignment="1" applyProtection="1">
      <alignment horizontal="center" vertical="center"/>
      <protection locked="0"/>
    </xf>
    <xf numFmtId="2" fontId="4" fillId="0" borderId="74" xfId="0" applyNumberFormat="1" applyFont="1" applyBorder="1" applyAlignment="1" applyProtection="1">
      <alignment horizontal="right" vertical="center"/>
      <protection locked="0"/>
    </xf>
    <xf numFmtId="2" fontId="0" fillId="0" borderId="74" xfId="0" applyNumberFormat="1" applyBorder="1" applyProtection="1">
      <protection locked="0"/>
    </xf>
    <xf numFmtId="2" fontId="4" fillId="0" borderId="74" xfId="0" applyNumberFormat="1" applyFont="1" applyBorder="1" applyAlignment="1" applyProtection="1">
      <alignment horizontal="center" vertical="center"/>
      <protection locked="0"/>
    </xf>
    <xf numFmtId="169" fontId="8" fillId="0" borderId="2" xfId="0" applyNumberFormat="1" applyFont="1" applyFill="1" applyBorder="1" applyAlignment="1" applyProtection="1"/>
    <xf numFmtId="0" fontId="0" fillId="0" borderId="0" xfId="0" applyBorder="1" applyAlignment="1">
      <alignment horizontal="center"/>
    </xf>
    <xf numFmtId="10" fontId="4" fillId="0" borderId="74" xfId="0" applyNumberFormat="1" applyFont="1" applyBorder="1" applyAlignment="1" applyProtection="1">
      <alignment horizontal="center"/>
      <protection locked="0"/>
    </xf>
    <xf numFmtId="3" fontId="4" fillId="0" borderId="74" xfId="1" applyNumberFormat="1" applyFont="1" applyBorder="1" applyAlignment="1" applyProtection="1">
      <alignment horizontal="center"/>
      <protection locked="0"/>
    </xf>
    <xf numFmtId="10" fontId="4" fillId="0" borderId="74" xfId="0" applyNumberFormat="1" applyFont="1" applyFill="1" applyBorder="1" applyAlignment="1" applyProtection="1">
      <alignment horizontal="center" vertical="center"/>
      <protection locked="0"/>
    </xf>
    <xf numFmtId="0" fontId="0" fillId="0" borderId="74" xfId="0" applyBorder="1" applyAlignment="1" applyProtection="1">
      <alignment horizontal="center" vertical="center"/>
      <protection locked="0"/>
    </xf>
    <xf numFmtId="0" fontId="4" fillId="0" borderId="74" xfId="0" applyFont="1" applyFill="1" applyBorder="1" applyAlignment="1" applyProtection="1">
      <alignment horizontal="center" vertical="center"/>
      <protection locked="0"/>
    </xf>
    <xf numFmtId="0" fontId="4" fillId="0" borderId="74" xfId="0" applyFont="1" applyFill="1" applyBorder="1" applyAlignment="1" applyProtection="1">
      <alignment horizontal="center"/>
      <protection locked="0"/>
    </xf>
    <xf numFmtId="0" fontId="0" fillId="0" borderId="74" xfId="0" applyBorder="1" applyAlignment="1" applyProtection="1">
      <alignment horizontal="center"/>
      <protection locked="0"/>
    </xf>
    <xf numFmtId="0" fontId="4" fillId="0" borderId="74" xfId="0" applyNumberFormat="1" applyFont="1" applyBorder="1" applyAlignment="1" applyProtection="1">
      <alignment horizontal="center"/>
      <protection locked="0"/>
    </xf>
    <xf numFmtId="0" fontId="0" fillId="0" borderId="74" xfId="0" applyFill="1" applyBorder="1" applyAlignment="1" applyProtection="1">
      <alignment horizontal="center" vertical="center"/>
      <protection locked="0"/>
    </xf>
    <xf numFmtId="0" fontId="0" fillId="0" borderId="74" xfId="0" applyNumberFormat="1" applyFill="1" applyBorder="1" applyAlignment="1" applyProtection="1">
      <alignment horizontal="center" vertical="center"/>
      <protection locked="0"/>
    </xf>
    <xf numFmtId="2" fontId="4" fillId="0" borderId="75" xfId="0" applyNumberFormat="1" applyFont="1" applyBorder="1" applyAlignment="1" applyProtection="1">
      <alignment horizontal="right" vertical="center"/>
      <protection locked="0"/>
    </xf>
    <xf numFmtId="2" fontId="4" fillId="0" borderId="76" xfId="0" applyNumberFormat="1" applyFont="1" applyBorder="1" applyAlignment="1" applyProtection="1">
      <alignment horizontal="right" vertical="center"/>
      <protection locked="0"/>
    </xf>
    <xf numFmtId="2" fontId="4" fillId="0" borderId="77" xfId="0" applyNumberFormat="1" applyFont="1" applyBorder="1" applyAlignment="1" applyProtection="1">
      <alignment horizontal="right" vertical="center"/>
      <protection locked="0"/>
    </xf>
    <xf numFmtId="2" fontId="4" fillId="0" borderId="78" xfId="0" applyNumberFormat="1" applyFont="1" applyBorder="1" applyAlignment="1" applyProtection="1">
      <alignment horizontal="right" vertical="center"/>
      <protection locked="0"/>
    </xf>
    <xf numFmtId="2" fontId="4" fillId="0" borderId="79" xfId="0" applyNumberFormat="1" applyFont="1" applyBorder="1" applyAlignment="1" applyProtection="1">
      <alignment horizontal="right" vertical="center"/>
      <protection locked="0"/>
    </xf>
    <xf numFmtId="3" fontId="38" fillId="2" borderId="56" xfId="0" applyNumberFormat="1" applyFont="1" applyFill="1" applyBorder="1" applyAlignment="1" applyProtection="1">
      <alignment horizontal="center"/>
    </xf>
    <xf numFmtId="0" fontId="4" fillId="0" borderId="74" xfId="0" applyFont="1" applyBorder="1" applyAlignment="1" applyProtection="1">
      <alignment horizontal="center"/>
      <protection locked="0"/>
    </xf>
    <xf numFmtId="13" fontId="4" fillId="2" borderId="0" xfId="0" applyNumberFormat="1" applyFont="1" applyFill="1" applyBorder="1" applyAlignment="1" applyProtection="1">
      <alignment horizontal="right"/>
    </xf>
    <xf numFmtId="49" fontId="20" fillId="0" borderId="14" xfId="0" applyNumberFormat="1" applyFont="1" applyBorder="1" applyAlignment="1" applyProtection="1">
      <alignment horizontal="center"/>
    </xf>
    <xf numFmtId="3" fontId="20" fillId="0" borderId="2" xfId="0" applyNumberFormat="1" applyFont="1" applyBorder="1" applyAlignment="1" applyProtection="1">
      <alignment horizontal="right"/>
    </xf>
    <xf numFmtId="166" fontId="24" fillId="0" borderId="0" xfId="0" applyNumberFormat="1" applyFont="1" applyBorder="1" applyAlignment="1" applyProtection="1">
      <alignment horizontal="center"/>
    </xf>
    <xf numFmtId="0" fontId="3" fillId="0" borderId="80" xfId="0" applyFont="1" applyFill="1" applyBorder="1" applyAlignment="1" applyProtection="1">
      <alignment horizontal="right" vertical="center"/>
      <protection locked="0"/>
    </xf>
    <xf numFmtId="0" fontId="3" fillId="0" borderId="81" xfId="0" applyFont="1" applyBorder="1" applyAlignment="1" applyProtection="1">
      <alignment horizontal="right"/>
      <protection locked="0"/>
    </xf>
    <xf numFmtId="0" fontId="3" fillId="0" borderId="82" xfId="0" applyFont="1" applyFill="1" applyBorder="1" applyAlignment="1" applyProtection="1">
      <alignment horizontal="right"/>
      <protection locked="0"/>
    </xf>
    <xf numFmtId="0" fontId="3" fillId="0" borderId="83" xfId="0" applyFont="1" applyBorder="1" applyAlignment="1" applyProtection="1">
      <alignment horizontal="right"/>
      <protection locked="0"/>
    </xf>
    <xf numFmtId="0" fontId="3" fillId="0" borderId="84" xfId="0" applyFont="1" applyFill="1" applyBorder="1" applyAlignment="1" applyProtection="1">
      <alignment horizontal="right"/>
      <protection locked="0"/>
    </xf>
    <xf numFmtId="0" fontId="3" fillId="0" borderId="85" xfId="0" applyFont="1" applyBorder="1" applyAlignment="1" applyProtection="1">
      <alignment horizontal="right"/>
      <protection locked="0"/>
    </xf>
    <xf numFmtId="0" fontId="3" fillId="0" borderId="86" xfId="0" applyFont="1" applyBorder="1" applyAlignment="1" applyProtection="1">
      <alignment horizontal="center" vertical="top" wrapText="1"/>
      <protection locked="0"/>
    </xf>
    <xf numFmtId="0" fontId="3" fillId="0" borderId="87" xfId="0" applyFont="1" applyBorder="1" applyAlignment="1" applyProtection="1">
      <alignment horizontal="right"/>
      <protection locked="0"/>
    </xf>
    <xf numFmtId="1" fontId="15" fillId="0" borderId="13" xfId="0" applyNumberFormat="1" applyFont="1" applyBorder="1" applyAlignment="1" applyProtection="1">
      <alignment horizontal="center" vertical="center"/>
    </xf>
    <xf numFmtId="1" fontId="15" fillId="0" borderId="2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1" fontId="4" fillId="0" borderId="14" xfId="0" applyNumberFormat="1" applyFont="1" applyBorder="1" applyAlignment="1" applyProtection="1">
      <alignment horizontal="center" vertical="center"/>
    </xf>
    <xf numFmtId="2" fontId="4" fillId="0" borderId="24" xfId="0" applyNumberFormat="1" applyFont="1" applyBorder="1" applyProtection="1"/>
    <xf numFmtId="9" fontId="3" fillId="0" borderId="1" xfId="0" applyNumberFormat="1" applyFont="1" applyFill="1" applyBorder="1" applyProtection="1"/>
    <xf numFmtId="12" fontId="8" fillId="2" borderId="88" xfId="0" applyNumberFormat="1" applyFont="1" applyFill="1" applyBorder="1" applyAlignment="1" applyProtection="1">
      <alignment horizontal="right"/>
      <protection locked="0"/>
    </xf>
    <xf numFmtId="13" fontId="8" fillId="2" borderId="88" xfId="0" applyNumberFormat="1" applyFont="1" applyFill="1" applyBorder="1" applyAlignment="1" applyProtection="1">
      <alignment horizontal="right"/>
      <protection locked="0"/>
    </xf>
    <xf numFmtId="13" fontId="8" fillId="2" borderId="89" xfId="0" applyNumberFormat="1" applyFont="1" applyFill="1" applyBorder="1" applyAlignment="1" applyProtection="1">
      <alignment horizontal="right"/>
      <protection locked="0"/>
    </xf>
    <xf numFmtId="0" fontId="12" fillId="2" borderId="64" xfId="0" applyFont="1" applyFill="1" applyBorder="1" applyAlignment="1" applyProtection="1">
      <alignment horizontal="center"/>
      <protection locked="0"/>
    </xf>
    <xf numFmtId="3" fontId="20" fillId="0" borderId="81" xfId="0" applyNumberFormat="1" applyFont="1" applyBorder="1" applyAlignment="1" applyProtection="1">
      <alignment horizontal="right"/>
      <protection locked="0"/>
    </xf>
    <xf numFmtId="0" fontId="4" fillId="0" borderId="25" xfId="0" applyNumberFormat="1" applyFont="1" applyFill="1" applyBorder="1" applyAlignment="1" applyProtection="1">
      <alignment horizontal="center" wrapText="1"/>
    </xf>
    <xf numFmtId="3" fontId="20" fillId="0" borderId="1" xfId="0" applyNumberFormat="1" applyFont="1" applyFill="1" applyBorder="1" applyAlignment="1" applyProtection="1">
      <alignment horizontal="right"/>
    </xf>
    <xf numFmtId="2" fontId="4" fillId="0" borderId="14" xfId="0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2" fontId="4" fillId="0" borderId="8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top"/>
    </xf>
    <xf numFmtId="2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wrapText="1"/>
    </xf>
    <xf numFmtId="0" fontId="2" fillId="0" borderId="0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/>
    </xf>
    <xf numFmtId="2" fontId="21" fillId="0" borderId="0" xfId="0" applyNumberFormat="1" applyFont="1" applyFill="1" applyBorder="1" applyAlignment="1" applyProtection="1">
      <alignment horizontal="center"/>
    </xf>
    <xf numFmtId="2" fontId="20" fillId="0" borderId="0" xfId="0" applyNumberFormat="1" applyFont="1" applyFill="1" applyBorder="1" applyAlignment="1" applyProtection="1"/>
    <xf numFmtId="0" fontId="35" fillId="0" borderId="0" xfId="0" applyFont="1" applyFill="1" applyProtection="1"/>
    <xf numFmtId="9" fontId="32" fillId="0" borderId="0" xfId="0" applyNumberFormat="1" applyFont="1" applyFill="1" applyProtection="1"/>
    <xf numFmtId="0" fontId="0" fillId="0" borderId="0" xfId="0" applyAlignment="1"/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wrapText="1"/>
    </xf>
    <xf numFmtId="0" fontId="45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Alignment="1" applyProtection="1"/>
    <xf numFmtId="0" fontId="20" fillId="0" borderId="0" xfId="0" applyFont="1" applyAlignment="1" applyProtection="1"/>
    <xf numFmtId="0" fontId="44" fillId="0" borderId="23" xfId="0" applyFont="1" applyBorder="1" applyAlignment="1" applyProtection="1">
      <alignment horizontal="center" vertical="center"/>
    </xf>
    <xf numFmtId="0" fontId="3" fillId="0" borderId="67" xfId="0" applyFont="1" applyFill="1" applyBorder="1" applyAlignment="1" applyProtection="1">
      <alignment horizontal="right" vertical="center"/>
      <protection locked="0"/>
    </xf>
    <xf numFmtId="0" fontId="4" fillId="6" borderId="0" xfId="0" applyFont="1" applyFill="1" applyProtection="1"/>
    <xf numFmtId="14" fontId="0" fillId="0" borderId="0" xfId="0" applyNumberFormat="1" applyBorder="1" applyAlignment="1" applyProtection="1">
      <alignment horizontal="left"/>
      <protection locked="0"/>
    </xf>
    <xf numFmtId="0" fontId="0" fillId="7" borderId="0" xfId="0" applyFill="1" applyProtection="1"/>
    <xf numFmtId="0" fontId="0" fillId="8" borderId="0" xfId="0" applyFill="1" applyProtection="1"/>
    <xf numFmtId="0" fontId="49" fillId="0" borderId="128" xfId="0" applyFont="1" applyBorder="1" applyAlignment="1" applyProtection="1">
      <alignment horizontal="center" vertical="center"/>
    </xf>
    <xf numFmtId="0" fontId="0" fillId="0" borderId="128" xfId="0" applyBorder="1" applyProtection="1"/>
    <xf numFmtId="0" fontId="0" fillId="0" borderId="1" xfId="0" applyBorder="1" applyAlignment="1" applyProtection="1">
      <alignment horizontal="right" wrapText="1"/>
    </xf>
    <xf numFmtId="0" fontId="2" fillId="8" borderId="9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left" wrapText="1"/>
    </xf>
    <xf numFmtId="0" fontId="0" fillId="8" borderId="0" xfId="0" applyFill="1" applyAlignment="1">
      <alignment wrapText="1"/>
    </xf>
    <xf numFmtId="0" fontId="2" fillId="7" borderId="0" xfId="0" applyFont="1" applyFill="1" applyBorder="1" applyAlignment="1" applyProtection="1">
      <alignment horizontal="center" vertical="center"/>
    </xf>
    <xf numFmtId="0" fontId="0" fillId="7" borderId="0" xfId="0" applyFill="1" applyAlignment="1"/>
    <xf numFmtId="0" fontId="3" fillId="9" borderId="25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9" borderId="0" xfId="0" applyNumberFormat="1" applyFill="1" applyProtection="1"/>
    <xf numFmtId="2" fontId="3" fillId="0" borderId="0" xfId="0" applyNumberFormat="1" applyFont="1" applyBorder="1" applyAlignment="1" applyProtection="1">
      <alignment horizontal="center"/>
    </xf>
    <xf numFmtId="165" fontId="47" fillId="0" borderId="0" xfId="0" applyNumberFormat="1" applyFont="1" applyBorder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center"/>
    </xf>
    <xf numFmtId="0" fontId="47" fillId="0" borderId="1" xfId="0" applyNumberFormat="1" applyFont="1" applyBorder="1" applyAlignment="1" applyProtection="1">
      <alignment horizontal="center"/>
    </xf>
    <xf numFmtId="0" fontId="0" fillId="0" borderId="0" xfId="0" applyAlignment="1"/>
    <xf numFmtId="0" fontId="3" fillId="0" borderId="0" xfId="0" applyFont="1" applyAlignment="1" applyProtection="1">
      <alignment horizontal="right"/>
    </xf>
    <xf numFmtId="10" fontId="4" fillId="0" borderId="147" xfId="1" applyNumberFormat="1" applyFont="1" applyBorder="1" applyAlignment="1" applyProtection="1">
      <alignment horizontal="center" vertical="center"/>
      <protection locked="0"/>
    </xf>
    <xf numFmtId="0" fontId="0" fillId="7" borderId="0" xfId="0" applyFill="1" applyBorder="1" applyAlignment="1" applyProtection="1">
      <alignment horizontal="center"/>
    </xf>
    <xf numFmtId="0" fontId="3" fillId="7" borderId="28" xfId="0" applyFont="1" applyFill="1" applyBorder="1" applyAlignment="1" applyProtection="1">
      <alignment horizontal="right"/>
    </xf>
    <xf numFmtId="0" fontId="3" fillId="9" borderId="0" xfId="0" applyFont="1" applyFill="1" applyBorder="1" applyAlignment="1" applyProtection="1">
      <alignment horizontal="center"/>
    </xf>
    <xf numFmtId="0" fontId="0" fillId="9" borderId="0" xfId="0" applyFill="1" applyBorder="1" applyAlignment="1" applyProtection="1">
      <alignment horizontal="center"/>
    </xf>
    <xf numFmtId="0" fontId="0" fillId="9" borderId="0" xfId="0" applyFill="1" applyBorder="1" applyAlignment="1" applyProtection="1"/>
    <xf numFmtId="3" fontId="3" fillId="9" borderId="14" xfId="0" applyNumberFormat="1" applyFont="1" applyFill="1" applyBorder="1" applyAlignment="1" applyProtection="1">
      <alignment horizontal="right"/>
    </xf>
    <xf numFmtId="0" fontId="0" fillId="9" borderId="1" xfId="0" applyFill="1" applyBorder="1" applyAlignment="1" applyProtection="1"/>
    <xf numFmtId="2" fontId="17" fillId="9" borderId="1" xfId="0" applyNumberFormat="1" applyFont="1" applyFill="1" applyBorder="1" applyAlignment="1" applyProtection="1">
      <alignment horizontal="center"/>
    </xf>
    <xf numFmtId="3" fontId="3" fillId="9" borderId="24" xfId="0" applyNumberFormat="1" applyFont="1" applyFill="1" applyBorder="1" applyAlignment="1" applyProtection="1">
      <alignment horizontal="right"/>
    </xf>
    <xf numFmtId="10" fontId="4" fillId="10" borderId="4" xfId="0" applyNumberFormat="1" applyFont="1" applyFill="1" applyBorder="1" applyProtection="1"/>
    <xf numFmtId="2" fontId="4" fillId="10" borderId="4" xfId="0" applyNumberFormat="1" applyFont="1" applyFill="1" applyBorder="1" applyProtection="1"/>
    <xf numFmtId="2" fontId="4" fillId="10" borderId="3" xfId="0" applyNumberFormat="1" applyFont="1" applyFill="1" applyBorder="1" applyProtection="1"/>
    <xf numFmtId="10" fontId="10" fillId="11" borderId="4" xfId="0" applyNumberFormat="1" applyFont="1" applyFill="1" applyBorder="1" applyProtection="1"/>
    <xf numFmtId="2" fontId="10" fillId="11" borderId="4" xfId="0" applyNumberFormat="1" applyFont="1" applyFill="1" applyBorder="1" applyProtection="1"/>
    <xf numFmtId="2" fontId="10" fillId="11" borderId="3" xfId="0" applyNumberFormat="1" applyFont="1" applyFill="1" applyBorder="1" applyProtection="1"/>
    <xf numFmtId="0" fontId="0" fillId="0" borderId="149" xfId="0" applyNumberFormat="1" applyBorder="1" applyAlignment="1" applyProtection="1">
      <alignment horizontal="center"/>
    </xf>
    <xf numFmtId="0" fontId="0" fillId="0" borderId="11" xfId="0" applyBorder="1" applyAlignment="1"/>
    <xf numFmtId="0" fontId="0" fillId="0" borderId="2" xfId="0" applyBorder="1" applyAlignment="1" applyProtection="1">
      <alignment horizontal="left" wrapText="1"/>
    </xf>
    <xf numFmtId="0" fontId="0" fillId="0" borderId="14" xfId="0" applyBorder="1" applyAlignment="1" applyProtection="1">
      <alignment horizontal="center" wrapText="1"/>
    </xf>
    <xf numFmtId="0" fontId="3" fillId="9" borderId="25" xfId="0" applyFont="1" applyFill="1" applyBorder="1" applyAlignment="1" applyProtection="1">
      <alignment horizontal="right"/>
    </xf>
    <xf numFmtId="165" fontId="20" fillId="12" borderId="3" xfId="0" applyNumberFormat="1" applyFont="1" applyFill="1" applyBorder="1" applyAlignment="1" applyProtection="1">
      <alignment horizontal="center"/>
    </xf>
    <xf numFmtId="0" fontId="20" fillId="12" borderId="3" xfId="0" applyFont="1" applyFill="1" applyBorder="1" applyAlignment="1" applyProtection="1">
      <alignment horizontal="left"/>
    </xf>
    <xf numFmtId="2" fontId="2" fillId="12" borderId="43" xfId="0" applyNumberFormat="1" applyFont="1" applyFill="1" applyBorder="1" applyAlignment="1" applyProtection="1">
      <alignment horizontal="right"/>
    </xf>
    <xf numFmtId="1" fontId="20" fillId="12" borderId="2" xfId="0" applyNumberFormat="1" applyFont="1" applyFill="1" applyBorder="1" applyAlignment="1" applyProtection="1">
      <alignment horizontal="right"/>
    </xf>
    <xf numFmtId="0" fontId="20" fillId="12" borderId="20" xfId="0" applyFont="1" applyFill="1" applyBorder="1" applyAlignment="1" applyProtection="1">
      <alignment horizontal="center"/>
      <protection locked="0"/>
    </xf>
    <xf numFmtId="0" fontId="20" fillId="12" borderId="3" xfId="0" applyFont="1" applyFill="1" applyBorder="1" applyAlignment="1" applyProtection="1">
      <alignment horizontal="right"/>
    </xf>
    <xf numFmtId="3" fontId="2" fillId="12" borderId="3" xfId="0" applyNumberFormat="1" applyFont="1" applyFill="1" applyBorder="1" applyAlignment="1" applyProtection="1">
      <alignment horizontal="left"/>
    </xf>
    <xf numFmtId="0" fontId="20" fillId="12" borderId="21" xfId="0" applyFont="1" applyFill="1" applyBorder="1" applyAlignment="1" applyProtection="1">
      <alignment horizontal="center"/>
      <protection locked="0"/>
    </xf>
    <xf numFmtId="2" fontId="2" fillId="12" borderId="52" xfId="0" applyNumberFormat="1" applyFont="1" applyFill="1" applyBorder="1" applyAlignment="1" applyProtection="1">
      <alignment horizontal="right"/>
    </xf>
    <xf numFmtId="3" fontId="2" fillId="12" borderId="38" xfId="0" applyNumberFormat="1" applyFont="1" applyFill="1" applyBorder="1" applyAlignment="1" applyProtection="1">
      <alignment horizontal="left"/>
    </xf>
    <xf numFmtId="1" fontId="20" fillId="12" borderId="39" xfId="0" applyNumberFormat="1" applyFont="1" applyFill="1" applyBorder="1" applyAlignment="1" applyProtection="1">
      <alignment horizontal="right"/>
    </xf>
    <xf numFmtId="0" fontId="20" fillId="12" borderId="22" xfId="0" applyFont="1" applyFill="1" applyBorder="1" applyAlignment="1" applyProtection="1">
      <alignment horizontal="center"/>
      <protection locked="0"/>
    </xf>
    <xf numFmtId="165" fontId="20" fillId="10" borderId="3" xfId="0" applyNumberFormat="1" applyFont="1" applyFill="1" applyBorder="1" applyAlignment="1" applyProtection="1">
      <alignment horizontal="center"/>
    </xf>
    <xf numFmtId="0" fontId="20" fillId="10" borderId="3" xfId="0" applyFont="1" applyFill="1" applyBorder="1" applyAlignment="1" applyProtection="1">
      <alignment horizontal="left"/>
    </xf>
    <xf numFmtId="2" fontId="2" fillId="10" borderId="43" xfId="0" applyNumberFormat="1" applyFont="1" applyFill="1" applyBorder="1" applyAlignment="1" applyProtection="1">
      <alignment horizontal="right"/>
    </xf>
    <xf numFmtId="1" fontId="20" fillId="10" borderId="2" xfId="0" applyNumberFormat="1" applyFont="1" applyFill="1" applyBorder="1" applyAlignment="1" applyProtection="1">
      <alignment horizontal="right"/>
    </xf>
    <xf numFmtId="0" fontId="20" fillId="10" borderId="20" xfId="0" applyFont="1" applyFill="1" applyBorder="1" applyAlignment="1" applyProtection="1">
      <alignment horizontal="center"/>
      <protection locked="0"/>
    </xf>
    <xf numFmtId="0" fontId="20" fillId="10" borderId="3" xfId="0" applyFont="1" applyFill="1" applyBorder="1" applyAlignment="1" applyProtection="1">
      <alignment horizontal="right"/>
    </xf>
    <xf numFmtId="3" fontId="2" fillId="10" borderId="3" xfId="0" applyNumberFormat="1" applyFont="1" applyFill="1" applyBorder="1" applyAlignment="1" applyProtection="1">
      <alignment horizontal="left"/>
    </xf>
    <xf numFmtId="0" fontId="20" fillId="10" borderId="21" xfId="0" applyFont="1" applyFill="1" applyBorder="1" applyAlignment="1" applyProtection="1">
      <alignment horizontal="center"/>
      <protection locked="0"/>
    </xf>
    <xf numFmtId="2" fontId="2" fillId="10" borderId="52" xfId="0" applyNumberFormat="1" applyFont="1" applyFill="1" applyBorder="1" applyAlignment="1" applyProtection="1">
      <alignment horizontal="right"/>
    </xf>
    <xf numFmtId="3" fontId="2" fillId="10" borderId="38" xfId="0" applyNumberFormat="1" applyFont="1" applyFill="1" applyBorder="1" applyAlignment="1" applyProtection="1">
      <alignment horizontal="left"/>
    </xf>
    <xf numFmtId="1" fontId="20" fillId="10" borderId="39" xfId="0" applyNumberFormat="1" applyFont="1" applyFill="1" applyBorder="1" applyAlignment="1" applyProtection="1">
      <alignment horizontal="right"/>
    </xf>
    <xf numFmtId="0" fontId="20" fillId="10" borderId="22" xfId="0" applyFont="1" applyFill="1" applyBorder="1" applyAlignment="1" applyProtection="1">
      <alignment horizontal="center"/>
      <protection locked="0"/>
    </xf>
    <xf numFmtId="49" fontId="20" fillId="12" borderId="1" xfId="0" applyNumberFormat="1" applyFont="1" applyFill="1" applyBorder="1" applyAlignment="1" applyProtection="1">
      <alignment horizontal="center"/>
    </xf>
    <xf numFmtId="3" fontId="20" fillId="12" borderId="1" xfId="0" applyNumberFormat="1" applyFont="1" applyFill="1" applyBorder="1" applyAlignment="1" applyProtection="1">
      <alignment horizontal="right"/>
    </xf>
    <xf numFmtId="2" fontId="2" fillId="12" borderId="53" xfId="0" applyNumberFormat="1" applyFont="1" applyFill="1" applyBorder="1" applyAlignment="1" applyProtection="1">
      <alignment horizontal="right"/>
    </xf>
    <xf numFmtId="165" fontId="20" fillId="12" borderId="3" xfId="0" applyNumberFormat="1" applyFont="1" applyFill="1" applyBorder="1" applyAlignment="1" applyProtection="1">
      <alignment horizontal="left"/>
    </xf>
    <xf numFmtId="165" fontId="20" fillId="12" borderId="38" xfId="0" applyNumberFormat="1" applyFont="1" applyFill="1" applyBorder="1" applyAlignment="1" applyProtection="1">
      <alignment horizontal="left"/>
    </xf>
    <xf numFmtId="0" fontId="20" fillId="13" borderId="14" xfId="0" applyFont="1" applyFill="1" applyBorder="1" applyAlignment="1" applyProtection="1">
      <alignment horizontal="center"/>
    </xf>
    <xf numFmtId="3" fontId="20" fillId="13" borderId="20" xfId="0" applyNumberFormat="1" applyFont="1" applyFill="1" applyBorder="1" applyAlignment="1" applyProtection="1">
      <alignment horizontal="right"/>
      <protection locked="0"/>
    </xf>
    <xf numFmtId="3" fontId="20" fillId="13" borderId="2" xfId="0" applyNumberFormat="1" applyFont="1" applyFill="1" applyBorder="1" applyAlignment="1" applyProtection="1">
      <alignment horizontal="right"/>
    </xf>
    <xf numFmtId="0" fontId="20" fillId="13" borderId="14" xfId="0" applyFont="1" applyFill="1" applyBorder="1" applyAlignment="1" applyProtection="1">
      <alignment horizontal="right"/>
    </xf>
    <xf numFmtId="165" fontId="20" fillId="13" borderId="3" xfId="0" applyNumberFormat="1" applyFont="1" applyFill="1" applyBorder="1" applyAlignment="1" applyProtection="1">
      <alignment horizontal="center"/>
    </xf>
    <xf numFmtId="0" fontId="20" fillId="13" borderId="3" xfId="0" applyFont="1" applyFill="1" applyBorder="1" applyAlignment="1" applyProtection="1">
      <alignment horizontal="left"/>
    </xf>
    <xf numFmtId="2" fontId="2" fillId="13" borderId="43" xfId="0" applyNumberFormat="1" applyFont="1" applyFill="1" applyBorder="1" applyAlignment="1" applyProtection="1">
      <alignment horizontal="right"/>
    </xf>
    <xf numFmtId="1" fontId="20" fillId="13" borderId="2" xfId="0" applyNumberFormat="1" applyFont="1" applyFill="1" applyBorder="1" applyAlignment="1" applyProtection="1">
      <alignment horizontal="right"/>
    </xf>
    <xf numFmtId="0" fontId="20" fillId="13" borderId="20" xfId="0" applyFont="1" applyFill="1" applyBorder="1" applyAlignment="1" applyProtection="1">
      <alignment horizontal="center"/>
      <protection locked="0"/>
    </xf>
    <xf numFmtId="49" fontId="20" fillId="13" borderId="14" xfId="0" applyNumberFormat="1" applyFont="1" applyFill="1" applyBorder="1" applyAlignment="1" applyProtection="1">
      <alignment horizontal="center"/>
    </xf>
    <xf numFmtId="3" fontId="20" fillId="13" borderId="21" xfId="0" applyNumberFormat="1" applyFont="1" applyFill="1" applyBorder="1" applyAlignment="1" applyProtection="1">
      <alignment horizontal="right"/>
      <protection locked="0"/>
    </xf>
    <xf numFmtId="0" fontId="20" fillId="13" borderId="3" xfId="0" applyFont="1" applyFill="1" applyBorder="1" applyAlignment="1" applyProtection="1">
      <alignment horizontal="right"/>
    </xf>
    <xf numFmtId="3" fontId="2" fillId="13" borderId="3" xfId="0" applyNumberFormat="1" applyFont="1" applyFill="1" applyBorder="1" applyAlignment="1" applyProtection="1">
      <alignment horizontal="left"/>
    </xf>
    <xf numFmtId="0" fontId="20" fillId="13" borderId="21" xfId="0" applyFont="1" applyFill="1" applyBorder="1" applyAlignment="1" applyProtection="1">
      <alignment horizontal="center"/>
      <protection locked="0"/>
    </xf>
    <xf numFmtId="3" fontId="20" fillId="13" borderId="46" xfId="0" applyNumberFormat="1" applyFont="1" applyFill="1" applyBorder="1" applyAlignment="1" applyProtection="1">
      <alignment horizontal="right"/>
    </xf>
    <xf numFmtId="2" fontId="2" fillId="13" borderId="52" xfId="0" applyNumberFormat="1" applyFont="1" applyFill="1" applyBorder="1" applyAlignment="1" applyProtection="1">
      <alignment horizontal="right"/>
    </xf>
    <xf numFmtId="165" fontId="20" fillId="13" borderId="38" xfId="0" applyNumberFormat="1" applyFont="1" applyFill="1" applyBorder="1" applyAlignment="1" applyProtection="1">
      <alignment horizontal="center"/>
    </xf>
    <xf numFmtId="3" fontId="2" fillId="13" borderId="38" xfId="0" applyNumberFormat="1" applyFont="1" applyFill="1" applyBorder="1" applyAlignment="1" applyProtection="1">
      <alignment horizontal="left"/>
    </xf>
    <xf numFmtId="1" fontId="20" fillId="13" borderId="39" xfId="0" applyNumberFormat="1" applyFont="1" applyFill="1" applyBorder="1" applyAlignment="1" applyProtection="1">
      <alignment horizontal="right"/>
    </xf>
    <xf numFmtId="0" fontId="20" fillId="13" borderId="22" xfId="0" applyFont="1" applyFill="1" applyBorder="1" applyAlignment="1" applyProtection="1">
      <alignment horizontal="center"/>
      <protection locked="0"/>
    </xf>
    <xf numFmtId="49" fontId="20" fillId="10" borderId="1" xfId="0" applyNumberFormat="1" applyFont="1" applyFill="1" applyBorder="1" applyAlignment="1" applyProtection="1">
      <alignment horizontal="center"/>
    </xf>
    <xf numFmtId="3" fontId="20" fillId="10" borderId="1" xfId="0" applyNumberFormat="1" applyFont="1" applyFill="1" applyBorder="1" applyAlignment="1" applyProtection="1">
      <alignment horizontal="right"/>
    </xf>
    <xf numFmtId="2" fontId="21" fillId="10" borderId="43" xfId="0" applyNumberFormat="1" applyFont="1" applyFill="1" applyBorder="1" applyAlignment="1" applyProtection="1">
      <alignment horizontal="right"/>
    </xf>
    <xf numFmtId="165" fontId="20" fillId="10" borderId="3" xfId="0" applyNumberFormat="1" applyFont="1" applyFill="1" applyBorder="1" applyAlignment="1" applyProtection="1">
      <alignment horizontal="left"/>
    </xf>
    <xf numFmtId="165" fontId="20" fillId="10" borderId="38" xfId="0" applyNumberFormat="1" applyFont="1" applyFill="1" applyBorder="1" applyAlignment="1" applyProtection="1">
      <alignment horizontal="left"/>
    </xf>
    <xf numFmtId="0" fontId="20" fillId="14" borderId="14" xfId="0" applyNumberFormat="1" applyFont="1" applyFill="1" applyBorder="1" applyAlignment="1" applyProtection="1">
      <alignment horizontal="center" vertical="center"/>
    </xf>
    <xf numFmtId="0" fontId="9" fillId="14" borderId="14" xfId="0" applyNumberFormat="1" applyFont="1" applyFill="1" applyBorder="1" applyAlignment="1" applyProtection="1">
      <alignment horizontal="center" vertical="center"/>
    </xf>
    <xf numFmtId="2" fontId="2" fillId="14" borderId="41" xfId="0" applyNumberFormat="1" applyFont="1" applyFill="1" applyBorder="1" applyAlignment="1" applyProtection="1">
      <alignment horizontal="center"/>
    </xf>
    <xf numFmtId="0" fontId="2" fillId="14" borderId="9" xfId="0" applyFont="1" applyFill="1" applyBorder="1" applyAlignment="1" applyProtection="1">
      <alignment horizontal="center"/>
    </xf>
    <xf numFmtId="2" fontId="2" fillId="14" borderId="42" xfId="0" applyNumberFormat="1" applyFont="1" applyFill="1" applyBorder="1" applyAlignment="1" applyProtection="1">
      <alignment horizontal="center"/>
    </xf>
    <xf numFmtId="0" fontId="2" fillId="14" borderId="35" xfId="0" applyFont="1" applyFill="1" applyBorder="1" applyAlignment="1" applyProtection="1">
      <alignment horizontal="center"/>
    </xf>
    <xf numFmtId="0" fontId="0" fillId="0" borderId="12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8" fillId="0" borderId="0" xfId="0" applyFont="1" applyFill="1" applyBorder="1" applyAlignment="1" applyProtection="1">
      <alignment horizontal="center" vertical="center"/>
    </xf>
    <xf numFmtId="0" fontId="0" fillId="0" borderId="140" xfId="0" applyFill="1" applyBorder="1" applyAlignment="1" applyProtection="1"/>
    <xf numFmtId="0" fontId="48" fillId="0" borderId="140" xfId="0" applyFont="1" applyFill="1" applyBorder="1" applyAlignment="1" applyProtection="1">
      <alignment horizontal="center" vertical="center"/>
    </xf>
    <xf numFmtId="0" fontId="0" fillId="0" borderId="0" xfId="0" applyFill="1" applyBorder="1" applyAlignment="1"/>
    <xf numFmtId="0" fontId="48" fillId="0" borderId="0" xfId="0" applyFont="1" applyFill="1" applyAlignment="1" applyProtection="1">
      <alignment horizontal="center" vertical="center"/>
    </xf>
    <xf numFmtId="0" fontId="0" fillId="9" borderId="0" xfId="0" applyFill="1" applyProtection="1"/>
    <xf numFmtId="0" fontId="2" fillId="0" borderId="0" xfId="0" applyFont="1" applyFill="1" applyProtection="1"/>
    <xf numFmtId="14" fontId="9" fillId="0" borderId="0" xfId="0" applyNumberFormat="1" applyFont="1" applyAlignment="1" applyProtection="1">
      <alignment horizontal="left"/>
    </xf>
    <xf numFmtId="0" fontId="2" fillId="0" borderId="0" xfId="0" applyFont="1" applyProtection="1"/>
    <xf numFmtId="14" fontId="2" fillId="0" borderId="0" xfId="0" applyNumberFormat="1" applyFont="1" applyAlignment="1" applyProtection="1">
      <alignment horizontal="center" vertical="center"/>
    </xf>
    <xf numFmtId="0" fontId="52" fillId="0" borderId="54" xfId="0" applyFont="1" applyBorder="1" applyAlignment="1" applyProtection="1">
      <alignment horizontal="center" wrapText="1"/>
    </xf>
    <xf numFmtId="165" fontId="52" fillId="0" borderId="14" xfId="0" applyNumberFormat="1" applyFont="1" applyBorder="1" applyAlignment="1" applyProtection="1">
      <alignment horizontal="center"/>
    </xf>
    <xf numFmtId="165" fontId="52" fillId="10" borderId="14" xfId="0" applyNumberFormat="1" applyFont="1" applyFill="1" applyBorder="1" applyAlignment="1" applyProtection="1">
      <alignment horizontal="center"/>
    </xf>
    <xf numFmtId="165" fontId="52" fillId="10" borderId="3" xfId="0" applyNumberFormat="1" applyFont="1" applyFill="1" applyBorder="1" applyAlignment="1" applyProtection="1">
      <alignment horizontal="center"/>
    </xf>
    <xf numFmtId="165" fontId="52" fillId="10" borderId="38" xfId="0" applyNumberFormat="1" applyFont="1" applyFill="1" applyBorder="1" applyAlignment="1" applyProtection="1">
      <alignment horizontal="center"/>
    </xf>
    <xf numFmtId="2" fontId="52" fillId="0" borderId="50" xfId="0" applyNumberFormat="1" applyFont="1" applyBorder="1" applyAlignment="1" applyProtection="1">
      <alignment horizontal="center"/>
    </xf>
    <xf numFmtId="2" fontId="52" fillId="14" borderId="50" xfId="0" applyNumberFormat="1" applyFont="1" applyFill="1" applyBorder="1" applyAlignment="1" applyProtection="1">
      <alignment horizontal="center"/>
    </xf>
    <xf numFmtId="2" fontId="52" fillId="14" borderId="51" xfId="0" applyNumberFormat="1" applyFont="1" applyFill="1" applyBorder="1" applyAlignment="1" applyProtection="1">
      <alignment horizontal="center"/>
    </xf>
    <xf numFmtId="2" fontId="52" fillId="0" borderId="51" xfId="0" applyNumberFormat="1" applyFont="1" applyBorder="1" applyAlignment="1" applyProtection="1">
      <alignment horizontal="center"/>
    </xf>
    <xf numFmtId="0" fontId="4" fillId="0" borderId="0" xfId="0" applyFont="1" applyFill="1" applyAlignment="1" applyProtection="1">
      <alignment wrapText="1"/>
    </xf>
    <xf numFmtId="0" fontId="0" fillId="0" borderId="0" xfId="0" applyAlignment="1" applyProtection="1"/>
    <xf numFmtId="0" fontId="0" fillId="0" borderId="0" xfId="0" applyBorder="1" applyAlignment="1">
      <alignment horizontal="center" vertical="center"/>
    </xf>
    <xf numFmtId="0" fontId="3" fillId="0" borderId="28" xfId="0" applyFont="1" applyBorder="1" applyAlignment="1" applyProtection="1">
      <alignment horizontal="center"/>
    </xf>
    <xf numFmtId="0" fontId="2" fillId="5" borderId="3" xfId="0" applyFont="1" applyFill="1" applyBorder="1" applyAlignment="1" applyProtection="1">
      <alignment horizontal="left" vertical="center"/>
    </xf>
    <xf numFmtId="165" fontId="39" fillId="0" borderId="1" xfId="0" applyNumberFormat="1" applyFont="1" applyBorder="1" applyAlignment="1" applyProtection="1">
      <alignment horizontal="center"/>
    </xf>
    <xf numFmtId="0" fontId="53" fillId="0" borderId="54" xfId="0" applyFont="1" applyBorder="1" applyAlignment="1" applyProtection="1">
      <alignment horizontal="center" wrapText="1"/>
    </xf>
    <xf numFmtId="165" fontId="53" fillId="13" borderId="14" xfId="0" applyNumberFormat="1" applyFont="1" applyFill="1" applyBorder="1" applyAlignment="1" applyProtection="1">
      <alignment horizontal="center"/>
    </xf>
    <xf numFmtId="165" fontId="53" fillId="0" borderId="14" xfId="0" applyNumberFormat="1" applyFont="1" applyBorder="1" applyAlignment="1" applyProtection="1">
      <alignment horizontal="center"/>
    </xf>
    <xf numFmtId="165" fontId="53" fillId="13" borderId="48" xfId="0" applyNumberFormat="1" applyFont="1" applyFill="1" applyBorder="1" applyAlignment="1" applyProtection="1">
      <alignment horizontal="center"/>
    </xf>
    <xf numFmtId="165" fontId="53" fillId="12" borderId="14" xfId="0" applyNumberFormat="1" applyFont="1" applyFill="1" applyBorder="1" applyAlignment="1" applyProtection="1">
      <alignment horizontal="center"/>
    </xf>
    <xf numFmtId="165" fontId="53" fillId="12" borderId="35" xfId="0" applyNumberFormat="1" applyFont="1" applyFill="1" applyBorder="1" applyAlignment="1" applyProtection="1">
      <alignment horizontal="center"/>
    </xf>
    <xf numFmtId="0" fontId="4" fillId="0" borderId="191" xfId="0" applyFont="1" applyBorder="1" applyAlignment="1" applyProtection="1">
      <alignment horizontal="center" vertical="center"/>
      <protection locked="0"/>
    </xf>
    <xf numFmtId="0" fontId="4" fillId="0" borderId="192" xfId="0" applyFont="1" applyBorder="1" applyAlignment="1" applyProtection="1">
      <alignment horizontal="center" vertical="center"/>
      <protection locked="0"/>
    </xf>
    <xf numFmtId="0" fontId="4" fillId="0" borderId="192" xfId="0" applyFont="1" applyFill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12" xfId="0" applyFont="1" applyFill="1" applyBorder="1" applyAlignment="1" applyProtection="1"/>
    <xf numFmtId="2" fontId="4" fillId="0" borderId="12" xfId="0" applyNumberFormat="1" applyFont="1" applyFill="1" applyBorder="1" applyProtection="1"/>
    <xf numFmtId="2" fontId="3" fillId="0" borderId="12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 vertical="center"/>
    </xf>
    <xf numFmtId="2" fontId="0" fillId="0" borderId="12" xfId="0" applyNumberFormat="1" applyFill="1" applyBorder="1" applyAlignment="1" applyProtection="1">
      <alignment horizontal="center" vertical="center"/>
    </xf>
    <xf numFmtId="2" fontId="4" fillId="0" borderId="12" xfId="0" applyNumberFormat="1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/>
    <xf numFmtId="0" fontId="4" fillId="0" borderId="9" xfId="0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53" fillId="0" borderId="50" xfId="0" applyFont="1" applyBorder="1" applyAlignment="1" applyProtection="1">
      <alignment horizontal="center" vertical="center" wrapText="1"/>
    </xf>
    <xf numFmtId="0" fontId="0" fillId="15" borderId="0" xfId="0" applyFill="1" applyProtection="1"/>
    <xf numFmtId="0" fontId="1" fillId="15" borderId="0" xfId="0" applyFont="1" applyFill="1" applyProtection="1"/>
    <xf numFmtId="0" fontId="1" fillId="15" borderId="0" xfId="0" applyFont="1" applyFill="1" applyAlignment="1" applyProtection="1">
      <alignment horizontal="right"/>
    </xf>
    <xf numFmtId="2" fontId="1" fillId="15" borderId="0" xfId="0" applyNumberFormat="1" applyFont="1" applyFill="1" applyBorder="1" applyAlignment="1" applyProtection="1">
      <alignment horizontal="center"/>
    </xf>
    <xf numFmtId="49" fontId="1" fillId="15" borderId="0" xfId="0" applyNumberFormat="1" applyFont="1" applyFill="1" applyBorder="1" applyAlignment="1" applyProtection="1">
      <alignment horizontal="center"/>
    </xf>
    <xf numFmtId="1" fontId="1" fillId="15" borderId="0" xfId="0" applyNumberFormat="1" applyFont="1" applyFill="1" applyBorder="1" applyAlignment="1" applyProtection="1">
      <alignment horizontal="center"/>
    </xf>
    <xf numFmtId="0" fontId="25" fillId="15" borderId="0" xfId="0" applyFont="1" applyFill="1" applyBorder="1" applyAlignment="1" applyProtection="1">
      <alignment horizontal="left"/>
    </xf>
    <xf numFmtId="0" fontId="0" fillId="0" borderId="148" xfId="0" applyNumberFormat="1" applyBorder="1" applyAlignment="1" applyProtection="1">
      <alignment horizontal="center"/>
      <protection locked="0"/>
    </xf>
    <xf numFmtId="0" fontId="0" fillId="0" borderId="146" xfId="0" applyBorder="1" applyAlignment="1" applyProtection="1">
      <alignment horizontal="center" vertical="center"/>
      <protection locked="0"/>
    </xf>
    <xf numFmtId="0" fontId="1" fillId="0" borderId="191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 applyProtection="1">
      <alignment horizontal="center" vertical="center"/>
      <protection locked="0"/>
    </xf>
    <xf numFmtId="0" fontId="1" fillId="2" borderId="189" xfId="0" applyFont="1" applyFill="1" applyBorder="1" applyProtection="1">
      <protection locked="0"/>
    </xf>
    <xf numFmtId="0" fontId="27" fillId="2" borderId="190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1" fillId="0" borderId="192" xfId="0" applyFont="1" applyFill="1" applyBorder="1" applyAlignment="1" applyProtection="1">
      <alignment horizontal="center" vertical="center"/>
      <protection locked="0"/>
    </xf>
    <xf numFmtId="0" fontId="4" fillId="0" borderId="70" xfId="0" applyFont="1" applyBorder="1" applyAlignment="1" applyProtection="1">
      <alignment horizontal="center" vertical="center"/>
      <protection locked="0"/>
    </xf>
    <xf numFmtId="0" fontId="4" fillId="0" borderId="193" xfId="0" applyFont="1" applyBorder="1" applyAlignment="1" applyProtection="1">
      <alignment horizontal="center" vertical="center"/>
      <protection locked="0"/>
    </xf>
    <xf numFmtId="0" fontId="4" fillId="0" borderId="193" xfId="0" applyFont="1" applyFill="1" applyBorder="1" applyAlignment="1" applyProtection="1">
      <alignment horizontal="center" vertical="center"/>
      <protection locked="0"/>
    </xf>
    <xf numFmtId="0" fontId="4" fillId="3" borderId="193" xfId="0" applyFont="1" applyFill="1" applyBorder="1" applyAlignment="1" applyProtection="1">
      <alignment horizontal="center" vertical="center"/>
      <protection locked="0"/>
    </xf>
    <xf numFmtId="0" fontId="4" fillId="3" borderId="70" xfId="0" applyFont="1" applyFill="1" applyBorder="1" applyAlignment="1" applyProtection="1">
      <alignment horizontal="center" vertical="center"/>
      <protection locked="0"/>
    </xf>
    <xf numFmtId="0" fontId="1" fillId="0" borderId="193" xfId="0" applyFont="1" applyFill="1" applyBorder="1" applyAlignment="1" applyProtection="1">
      <alignment horizontal="center" vertical="center"/>
      <protection locked="0"/>
    </xf>
    <xf numFmtId="0" fontId="1" fillId="0" borderId="70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0" fillId="0" borderId="1" xfId="0" applyBorder="1" applyAlignment="1" applyProtection="1">
      <alignment horizontal="center" wrapText="1"/>
    </xf>
    <xf numFmtId="0" fontId="0" fillId="0" borderId="1" xfId="0" applyBorder="1" applyAlignment="1" applyProtection="1">
      <alignment horizontal="left" wrapText="1"/>
    </xf>
    <xf numFmtId="165" fontId="0" fillId="0" borderId="24" xfId="0" applyNumberFormat="1" applyBorder="1" applyAlignment="1" applyProtection="1">
      <alignment horizontal="center"/>
    </xf>
    <xf numFmtId="2" fontId="20" fillId="0" borderId="1" xfId="0" applyNumberFormat="1" applyFont="1" applyBorder="1" applyAlignment="1" applyProtection="1">
      <alignment horizontal="right"/>
    </xf>
    <xf numFmtId="12" fontId="21" fillId="0" borderId="125" xfId="0" applyNumberFormat="1" applyFont="1" applyFill="1" applyBorder="1" applyAlignment="1" applyProtection="1">
      <alignment horizontal="center"/>
      <protection locked="0"/>
    </xf>
    <xf numFmtId="0" fontId="1" fillId="0" borderId="74" xfId="0" applyFont="1" applyFill="1" applyBorder="1" applyAlignment="1" applyProtection="1">
      <alignment horizontal="center" vertical="center"/>
      <protection locked="0"/>
    </xf>
    <xf numFmtId="0" fontId="27" fillId="2" borderId="203" xfId="0" applyFont="1" applyFill="1" applyBorder="1" applyAlignment="1" applyProtection="1">
      <alignment horizontal="center"/>
      <protection locked="0"/>
    </xf>
    <xf numFmtId="0" fontId="1" fillId="0" borderId="202" xfId="0" applyFont="1" applyBorder="1" applyAlignment="1" applyProtection="1">
      <alignment horizontal="center" vertical="center"/>
      <protection locked="0"/>
    </xf>
    <xf numFmtId="0" fontId="1" fillId="0" borderId="20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50" fillId="7" borderId="171" xfId="0" applyFont="1" applyFill="1" applyBorder="1" applyAlignment="1" applyProtection="1">
      <alignment horizontal="center" vertical="center" wrapText="1"/>
      <protection locked="0"/>
    </xf>
    <xf numFmtId="0" fontId="51" fillId="9" borderId="172" xfId="0" applyFont="1" applyFill="1" applyBorder="1" applyAlignment="1" applyProtection="1">
      <alignment horizontal="center" vertical="center" wrapText="1"/>
      <protection locked="0"/>
    </xf>
    <xf numFmtId="0" fontId="0" fillId="0" borderId="173" xfId="0" applyBorder="1" applyAlignment="1" applyProtection="1">
      <alignment horizontal="center" vertical="center"/>
      <protection locked="0"/>
    </xf>
    <xf numFmtId="0" fontId="0" fillId="0" borderId="148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right" vertical="center" wrapText="1"/>
    </xf>
    <xf numFmtId="0" fontId="0" fillId="0" borderId="14" xfId="0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1" fillId="0" borderId="20" xfId="0" applyNumberFormat="1" applyFont="1" applyFill="1" applyBorder="1" applyAlignment="1" applyProtection="1">
      <alignment horizontal="center"/>
      <protection locked="0"/>
    </xf>
    <xf numFmtId="0" fontId="1" fillId="0" borderId="21" xfId="0" applyNumberFormat="1" applyFont="1" applyFill="1" applyBorder="1" applyAlignment="1" applyProtection="1">
      <alignment horizontal="center"/>
      <protection locked="0"/>
    </xf>
    <xf numFmtId="0" fontId="1" fillId="0" borderId="22" xfId="0" applyNumberFormat="1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1" fillId="0" borderId="21" xfId="0" applyFont="1" applyFill="1" applyBorder="1" applyAlignment="1" applyProtection="1">
      <alignment horizontal="center"/>
      <protection locked="0"/>
    </xf>
    <xf numFmtId="0" fontId="1" fillId="0" borderId="2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</xf>
    <xf numFmtId="0" fontId="48" fillId="0" borderId="129" xfId="0" applyFont="1" applyBorder="1" applyAlignment="1" applyProtection="1">
      <alignment horizontal="center" vertical="center"/>
      <protection locked="0"/>
    </xf>
    <xf numFmtId="0" fontId="50" fillId="7" borderId="130" xfId="0" applyFont="1" applyFill="1" applyBorder="1" applyAlignment="1" applyProtection="1">
      <alignment horizontal="center" vertical="center" wrapText="1"/>
      <protection locked="0"/>
    </xf>
    <xf numFmtId="0" fontId="51" fillId="9" borderId="13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NumberFormat="1" applyFont="1" applyBorder="1" applyAlignment="1" applyProtection="1">
      <alignment horizontal="right"/>
    </xf>
    <xf numFmtId="0" fontId="4" fillId="0" borderId="74" xfId="0" applyNumberFormat="1" applyFont="1" applyBorder="1" applyAlignment="1" applyProtection="1">
      <alignment horizontal="right"/>
    </xf>
    <xf numFmtId="0" fontId="4" fillId="0" borderId="68" xfId="0" applyFont="1" applyBorder="1" applyAlignment="1" applyProtection="1">
      <alignment horizontal="right" vertical="center"/>
    </xf>
    <xf numFmtId="3" fontId="4" fillId="0" borderId="67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132" xfId="0" applyBorder="1" applyAlignment="1" applyProtection="1">
      <alignment horizontal="center" vertical="center"/>
      <protection locked="0"/>
    </xf>
    <xf numFmtId="0" fontId="48" fillId="0" borderId="205" xfId="0" applyFont="1" applyBorder="1" applyAlignment="1" applyProtection="1">
      <alignment horizontal="center" vertical="center"/>
      <protection locked="0"/>
    </xf>
    <xf numFmtId="0" fontId="48" fillId="8" borderId="204" xfId="0" applyFont="1" applyFill="1" applyBorder="1" applyAlignment="1" applyProtection="1">
      <alignment horizontal="center" vertical="center"/>
      <protection locked="0"/>
    </xf>
    <xf numFmtId="0" fontId="48" fillId="0" borderId="206" xfId="0" applyFont="1" applyBorder="1" applyAlignment="1" applyProtection="1">
      <alignment horizontal="center" vertical="center"/>
      <protection locked="0"/>
    </xf>
    <xf numFmtId="0" fontId="1" fillId="0" borderId="25" xfId="0" applyFont="1" applyFill="1" applyBorder="1" applyAlignment="1" applyProtection="1">
      <alignment horizontal="center" vertical="top"/>
    </xf>
    <xf numFmtId="49" fontId="1" fillId="0" borderId="8" xfId="0" applyNumberFormat="1" applyFont="1" applyFill="1" applyBorder="1" applyAlignment="1" applyProtection="1">
      <alignment horizontal="center" vertical="top"/>
    </xf>
    <xf numFmtId="0" fontId="57" fillId="2" borderId="63" xfId="0" applyFont="1" applyFill="1" applyBorder="1" applyProtection="1"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14" fontId="0" fillId="0" borderId="68" xfId="0" applyNumberForma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wrapText="1"/>
    </xf>
    <xf numFmtId="0" fontId="1" fillId="0" borderId="69" xfId="0" applyFont="1" applyBorder="1" applyAlignment="1" applyProtection="1">
      <alignment horizontal="center" vertical="center"/>
      <protection locked="0"/>
    </xf>
    <xf numFmtId="0" fontId="1" fillId="0" borderId="69" xfId="0" applyFont="1" applyBorder="1" applyAlignment="1" applyProtection="1">
      <alignment horizontal="center"/>
      <protection locked="0"/>
    </xf>
    <xf numFmtId="0" fontId="1" fillId="0" borderId="196" xfId="0" applyFont="1" applyBorder="1" applyAlignment="1" applyProtection="1">
      <alignment horizontal="center" vertical="center"/>
      <protection locked="0"/>
    </xf>
    <xf numFmtId="0" fontId="1" fillId="0" borderId="70" xfId="0" applyFont="1" applyBorder="1" applyAlignment="1" applyProtection="1">
      <alignment horizontal="center" vertical="center"/>
      <protection locked="0"/>
    </xf>
    <xf numFmtId="0" fontId="1" fillId="0" borderId="146" xfId="0" applyFont="1" applyBorder="1" applyAlignment="1" applyProtection="1">
      <alignment horizontal="center" vertical="center"/>
      <protection locked="0"/>
    </xf>
    <xf numFmtId="0" fontId="3" fillId="8" borderId="0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right"/>
      <protection locked="0"/>
    </xf>
    <xf numFmtId="0" fontId="4" fillId="0" borderId="124" xfId="0" applyFont="1" applyBorder="1" applyProtection="1"/>
    <xf numFmtId="3" fontId="4" fillId="0" borderId="208" xfId="0" applyNumberFormat="1" applyFont="1" applyBorder="1" applyAlignment="1" applyProtection="1">
      <alignment horizontal="right" vertical="center"/>
    </xf>
    <xf numFmtId="0" fontId="4" fillId="0" borderId="37" xfId="0" applyFont="1" applyBorder="1" applyProtection="1"/>
    <xf numFmtId="0" fontId="1" fillId="0" borderId="28" xfId="0" applyFont="1" applyFill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left"/>
    </xf>
    <xf numFmtId="0" fontId="27" fillId="0" borderId="0" xfId="0" applyFont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vertical="top"/>
    </xf>
    <xf numFmtId="3" fontId="4" fillId="0" borderId="67" xfId="1" applyNumberFormat="1" applyFont="1" applyBorder="1" applyAlignment="1" applyProtection="1">
      <alignment horizontal="center"/>
      <protection locked="0"/>
    </xf>
    <xf numFmtId="3" fontId="4" fillId="0" borderId="80" xfId="1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left" vertical="center"/>
    </xf>
    <xf numFmtId="13" fontId="4" fillId="0" borderId="7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2" fontId="0" fillId="0" borderId="74" xfId="0" applyNumberForma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top"/>
    </xf>
    <xf numFmtId="0" fontId="72" fillId="0" borderId="0" xfId="0" applyFont="1" applyAlignment="1" applyProtection="1">
      <alignment horizontal="left" vertical="top"/>
      <protection locked="0"/>
    </xf>
    <xf numFmtId="0" fontId="7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71" fillId="0" borderId="0" xfId="0" applyFont="1" applyAlignment="1" applyProtection="1">
      <alignment horizontal="right"/>
      <protection locked="0"/>
    </xf>
    <xf numFmtId="0" fontId="70" fillId="0" borderId="0" xfId="0" applyFont="1" applyAlignment="1" applyProtection="1">
      <alignment horizontal="right"/>
      <protection locked="0"/>
    </xf>
    <xf numFmtId="0" fontId="71" fillId="0" borderId="0" xfId="0" applyFont="1" applyAlignment="1" applyProtection="1">
      <alignment horizontal="right" vertical="top"/>
      <protection locked="0"/>
    </xf>
    <xf numFmtId="0" fontId="71" fillId="15" borderId="0" xfId="0" applyFont="1" applyFill="1" applyAlignment="1" applyProtection="1">
      <alignment horizontal="left" vertical="top"/>
      <protection locked="0"/>
    </xf>
    <xf numFmtId="0" fontId="71" fillId="0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/>
    </xf>
    <xf numFmtId="0" fontId="8" fillId="15" borderId="209" xfId="0" applyFont="1" applyFill="1" applyBorder="1" applyProtection="1">
      <protection locked="0"/>
    </xf>
    <xf numFmtId="0" fontId="8" fillId="15" borderId="210" xfId="0" applyFont="1" applyFill="1" applyBorder="1" applyProtection="1">
      <protection locked="0"/>
    </xf>
    <xf numFmtId="12" fontId="8" fillId="15" borderId="209" xfId="0" applyNumberFormat="1" applyFont="1" applyFill="1" applyBorder="1" applyAlignment="1" applyProtection="1">
      <alignment horizontal="left"/>
      <protection locked="0"/>
    </xf>
    <xf numFmtId="0" fontId="3" fillId="0" borderId="90" xfId="0" applyFont="1" applyFill="1" applyBorder="1" applyAlignment="1" applyProtection="1">
      <alignment horizontal="center"/>
      <protection locked="0"/>
    </xf>
    <xf numFmtId="0" fontId="3" fillId="7" borderId="0" xfId="0" applyFont="1" applyFill="1" applyBorder="1" applyAlignment="1" applyProtection="1">
      <alignment horizontal="left"/>
    </xf>
    <xf numFmtId="0" fontId="9" fillId="12" borderId="3" xfId="0" applyFont="1" applyFill="1" applyBorder="1" applyAlignment="1" applyProtection="1">
      <alignment horizontal="right"/>
    </xf>
    <xf numFmtId="0" fontId="9" fillId="10" borderId="3" xfId="0" applyFont="1" applyFill="1" applyBorder="1" applyAlignment="1" applyProtection="1">
      <alignment horizontal="right"/>
    </xf>
    <xf numFmtId="0" fontId="9" fillId="0" borderId="1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right"/>
    </xf>
    <xf numFmtId="0" fontId="1" fillId="0" borderId="0" xfId="0" applyNumberFormat="1" applyFont="1" applyAlignment="1" applyProtection="1">
      <alignment horizontal="center" wrapText="1"/>
    </xf>
    <xf numFmtId="0" fontId="9" fillId="7" borderId="0" xfId="0" applyFont="1" applyFill="1" applyProtection="1"/>
    <xf numFmtId="0" fontId="2" fillId="7" borderId="0" xfId="0" applyFont="1" applyFill="1" applyProtection="1"/>
    <xf numFmtId="0" fontId="2" fillId="8" borderId="9" xfId="0" applyFont="1" applyFill="1" applyBorder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/>
    </xf>
    <xf numFmtId="0" fontId="72" fillId="0" borderId="0" xfId="0" applyFont="1" applyAlignment="1" applyProtection="1">
      <alignment horizontal="center"/>
      <protection locked="0"/>
    </xf>
    <xf numFmtId="0" fontId="3" fillId="0" borderId="207" xfId="0" applyFont="1" applyBorder="1" applyAlignment="1" applyProtection="1">
      <alignment horizontal="right"/>
      <protection locked="0"/>
    </xf>
    <xf numFmtId="0" fontId="3" fillId="0" borderId="124" xfId="0" applyFont="1" applyBorder="1" applyAlignment="1" applyProtection="1">
      <alignment horizontal="right"/>
      <protection locked="0"/>
    </xf>
    <xf numFmtId="0" fontId="4" fillId="0" borderId="199" xfId="0" applyFont="1" applyBorder="1" applyAlignment="1" applyProtection="1">
      <alignment vertical="center"/>
      <protection locked="0"/>
    </xf>
    <xf numFmtId="0" fontId="0" fillId="0" borderId="200" xfId="0" applyBorder="1" applyAlignment="1">
      <alignment vertical="center"/>
    </xf>
    <xf numFmtId="0" fontId="1" fillId="0" borderId="199" xfId="0" applyFont="1" applyBorder="1" applyAlignment="1" applyProtection="1">
      <alignment vertical="center"/>
      <protection locked="0"/>
    </xf>
    <xf numFmtId="0" fontId="1" fillId="0" borderId="200" xfId="0" applyFont="1" applyBorder="1" applyAlignment="1">
      <alignment vertical="center"/>
    </xf>
    <xf numFmtId="0" fontId="2" fillId="0" borderId="0" xfId="0" applyFont="1" applyFill="1" applyAlignment="1" applyProtection="1">
      <alignment horizontal="right" wrapText="1"/>
    </xf>
    <xf numFmtId="0" fontId="0" fillId="0" borderId="0" xfId="0" applyAlignment="1">
      <alignment wrapText="1"/>
    </xf>
    <xf numFmtId="0" fontId="4" fillId="0" borderId="69" xfId="0" applyFont="1" applyBorder="1" applyAlignment="1" applyProtection="1">
      <alignment horizontal="center"/>
      <protection locked="0"/>
    </xf>
    <xf numFmtId="0" fontId="4" fillId="0" borderId="98" xfId="0" applyFont="1" applyBorder="1" applyAlignment="1" applyProtection="1">
      <alignment horizontal="center"/>
      <protection locked="0"/>
    </xf>
    <xf numFmtId="0" fontId="4" fillId="0" borderId="70" xfId="0" applyFont="1" applyBorder="1" applyAlignment="1" applyProtection="1">
      <alignment horizontal="center"/>
      <protection locked="0"/>
    </xf>
    <xf numFmtId="167" fontId="3" fillId="0" borderId="28" xfId="0" applyNumberFormat="1" applyFont="1" applyFill="1" applyBorder="1" applyAlignment="1" applyProtection="1">
      <alignment horizontal="center" wrapText="1"/>
    </xf>
    <xf numFmtId="0" fontId="3" fillId="0" borderId="25" xfId="0" applyFont="1" applyBorder="1" applyAlignment="1" applyProtection="1">
      <alignment horizontal="center" wrapText="1"/>
    </xf>
    <xf numFmtId="0" fontId="3" fillId="0" borderId="110" xfId="0" applyFont="1" applyFill="1" applyBorder="1" applyAlignment="1" applyProtection="1">
      <alignment horizontal="right"/>
    </xf>
    <xf numFmtId="0" fontId="4" fillId="0" borderId="111" xfId="0" applyFont="1" applyFill="1" applyBorder="1" applyAlignment="1" applyProtection="1">
      <alignment horizontal="right"/>
    </xf>
    <xf numFmtId="0" fontId="3" fillId="0" borderId="28" xfId="0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0" fillId="0" borderId="10" xfId="0" applyBorder="1" applyAlignment="1">
      <alignment horizontal="center"/>
    </xf>
    <xf numFmtId="14" fontId="4" fillId="0" borderId="70" xfId="0" applyNumberFormat="1" applyFont="1" applyBorder="1" applyAlignment="1" applyProtection="1">
      <alignment horizontal="center"/>
      <protection locked="0"/>
    </xf>
    <xf numFmtId="0" fontId="0" fillId="0" borderId="68" xfId="0" applyBorder="1" applyAlignment="1" applyProtection="1">
      <alignment horizontal="center"/>
      <protection locked="0"/>
    </xf>
    <xf numFmtId="0" fontId="3" fillId="0" borderId="96" xfId="0" applyFont="1" applyFill="1" applyBorder="1" applyAlignment="1" applyProtection="1">
      <alignment horizontal="center"/>
      <protection locked="0"/>
    </xf>
    <xf numFmtId="0" fontId="0" fillId="0" borderId="96" xfId="0" applyBorder="1" applyAlignment="1" applyProtection="1">
      <alignment horizontal="center"/>
      <protection locked="0"/>
    </xf>
    <xf numFmtId="0" fontId="0" fillId="0" borderId="96" xfId="0" applyBorder="1" applyAlignment="1" applyProtection="1">
      <protection locked="0"/>
    </xf>
    <xf numFmtId="0" fontId="1" fillId="0" borderId="68" xfId="0" applyFont="1" applyBorder="1" applyAlignment="1" applyProtection="1">
      <alignment horizontal="center"/>
      <protection locked="0"/>
    </xf>
    <xf numFmtId="0" fontId="4" fillId="0" borderId="68" xfId="0" applyFont="1" applyBorder="1" applyAlignment="1" applyProtection="1">
      <alignment horizontal="center"/>
      <protection locked="0"/>
    </xf>
    <xf numFmtId="0" fontId="1" fillId="0" borderId="69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71" xfId="0" applyFont="1" applyBorder="1" applyAlignment="1" applyProtection="1">
      <alignment horizontal="center" vertical="center"/>
      <protection locked="0"/>
    </xf>
    <xf numFmtId="0" fontId="1" fillId="0" borderId="68" xfId="0" applyFont="1" applyFill="1" applyBorder="1" applyAlignment="1" applyProtection="1">
      <alignment horizontal="left" wrapText="1"/>
      <protection locked="0"/>
    </xf>
    <xf numFmtId="0" fontId="0" fillId="0" borderId="68" xfId="0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alignment horizontal="left"/>
    </xf>
    <xf numFmtId="0" fontId="1" fillId="0" borderId="68" xfId="0" applyFont="1" applyBorder="1" applyAlignment="1" applyProtection="1">
      <alignment vertical="center"/>
      <protection locked="0"/>
    </xf>
    <xf numFmtId="0" fontId="0" fillId="0" borderId="68" xfId="0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0" fontId="4" fillId="9" borderId="3" xfId="0" applyFont="1" applyFill="1" applyBorder="1" applyAlignment="1" applyProtection="1">
      <alignment horizontal="left" vertical="center"/>
    </xf>
    <xf numFmtId="0" fontId="4" fillId="9" borderId="2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7" borderId="14" xfId="0" applyFont="1" applyFill="1" applyBorder="1" applyAlignment="1" applyProtection="1">
      <alignment horizontal="right" vertical="center"/>
    </xf>
    <xf numFmtId="0" fontId="3" fillId="7" borderId="3" xfId="0" applyFont="1" applyFill="1" applyBorder="1" applyAlignment="1" applyProtection="1">
      <alignment horizontal="right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2" xfId="0" applyFont="1" applyFill="1" applyBorder="1" applyAlignment="1" applyProtection="1">
      <alignment horizontal="left" vertical="center"/>
    </xf>
    <xf numFmtId="0" fontId="3" fillId="9" borderId="14" xfId="0" applyFont="1" applyFill="1" applyBorder="1" applyAlignment="1" applyProtection="1">
      <alignment horizontal="right" vertical="center"/>
    </xf>
    <xf numFmtId="0" fontId="3" fillId="9" borderId="3" xfId="0" applyFont="1" applyFill="1" applyBorder="1" applyAlignment="1" applyProtection="1">
      <alignment horizontal="right" vertical="center"/>
    </xf>
    <xf numFmtId="0" fontId="3" fillId="7" borderId="97" xfId="0" applyFont="1" applyFill="1" applyBorder="1" applyAlignment="1" applyProtection="1">
      <alignment horizontal="right" vertical="center"/>
    </xf>
    <xf numFmtId="0" fontId="4" fillId="0" borderId="9" xfId="0" applyFont="1" applyFill="1" applyBorder="1" applyAlignment="1" applyProtection="1">
      <alignment horizont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right" vertical="center"/>
    </xf>
    <xf numFmtId="10" fontId="2" fillId="2" borderId="0" xfId="0" applyNumberFormat="1" applyFont="1" applyFill="1" applyBorder="1" applyAlignment="1" applyProtection="1">
      <alignment horizontal="left" vertical="center"/>
    </xf>
    <xf numFmtId="0" fontId="3" fillId="10" borderId="14" xfId="0" applyFont="1" applyFill="1" applyBorder="1" applyAlignment="1" applyProtection="1">
      <alignment horizontal="center"/>
    </xf>
    <xf numFmtId="0" fontId="3" fillId="10" borderId="3" xfId="0" applyFont="1" applyFill="1" applyBorder="1" applyAlignment="1" applyProtection="1">
      <alignment horizontal="center"/>
    </xf>
    <xf numFmtId="0" fontId="37" fillId="11" borderId="97" xfId="0" applyFont="1" applyFill="1" applyBorder="1" applyAlignment="1" applyProtection="1">
      <alignment horizontal="center"/>
    </xf>
    <xf numFmtId="0" fontId="37" fillId="11" borderId="3" xfId="0" applyFont="1" applyFill="1" applyBorder="1" applyAlignment="1" applyProtection="1">
      <alignment horizontal="center"/>
    </xf>
    <xf numFmtId="0" fontId="37" fillId="11" borderId="2" xfId="0" applyFont="1" applyFill="1" applyBorder="1" applyAlignment="1" applyProtection="1">
      <alignment horizontal="center"/>
    </xf>
    <xf numFmtId="3" fontId="4" fillId="0" borderId="1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11" xfId="0" applyFont="1" applyBorder="1" applyAlignment="1" applyProtection="1">
      <alignment horizontal="right" vertical="center"/>
    </xf>
    <xf numFmtId="10" fontId="3" fillId="0" borderId="11" xfId="0" applyNumberFormat="1" applyFont="1" applyBorder="1" applyAlignment="1" applyProtection="1">
      <alignment horizontal="left" vertical="center"/>
    </xf>
    <xf numFmtId="10" fontId="3" fillId="0" borderId="0" xfId="0" applyNumberFormat="1" applyFont="1" applyBorder="1" applyAlignment="1" applyProtection="1">
      <alignment horizontal="left" vertical="center"/>
    </xf>
    <xf numFmtId="168" fontId="3" fillId="0" borderId="11" xfId="0" applyNumberFormat="1" applyFont="1" applyBorder="1" applyAlignment="1" applyProtection="1">
      <alignment horizontal="left" vertical="center"/>
    </xf>
    <xf numFmtId="0" fontId="4" fillId="2" borderId="0" xfId="0" applyFont="1" applyFill="1" applyAlignment="1" applyProtection="1"/>
    <xf numFmtId="10" fontId="4" fillId="0" borderId="30" xfId="0" applyNumberFormat="1" applyFont="1" applyFill="1" applyBorder="1" applyAlignment="1" applyProtection="1">
      <alignment horizontal="left"/>
    </xf>
    <xf numFmtId="10" fontId="0" fillId="0" borderId="30" xfId="0" applyNumberFormat="1" applyFill="1" applyBorder="1" applyAlignment="1" applyProtection="1">
      <alignment horizontal="left"/>
    </xf>
    <xf numFmtId="0" fontId="4" fillId="2" borderId="0" xfId="0" applyFont="1" applyFill="1" applyAlignment="1" applyProtection="1">
      <alignment textRotation="90"/>
    </xf>
    <xf numFmtId="0" fontId="3" fillId="0" borderId="108" xfId="0" applyFont="1" applyFill="1" applyBorder="1" applyAlignment="1" applyProtection="1">
      <alignment horizontal="right"/>
    </xf>
    <xf numFmtId="0" fontId="3" fillId="0" borderId="30" xfId="0" applyFont="1" applyFill="1" applyBorder="1" applyAlignment="1" applyProtection="1">
      <alignment horizontal="right"/>
    </xf>
    <xf numFmtId="168" fontId="3" fillId="0" borderId="104" xfId="0" applyNumberFormat="1" applyFont="1" applyBorder="1" applyAlignment="1" applyProtection="1">
      <alignment horizontal="left" vertical="center"/>
    </xf>
    <xf numFmtId="11" fontId="4" fillId="0" borderId="30" xfId="0" applyNumberFormat="1" applyFont="1" applyFill="1" applyBorder="1" applyAlignment="1" applyProtection="1">
      <alignment horizontal="left"/>
    </xf>
    <xf numFmtId="11" fontId="0" fillId="0" borderId="30" xfId="0" applyNumberFormat="1" applyFill="1" applyBorder="1" applyAlignment="1" applyProtection="1">
      <alignment horizontal="left"/>
    </xf>
    <xf numFmtId="0" fontId="4" fillId="2" borderId="0" xfId="0" applyFont="1" applyFill="1" applyAlignment="1" applyProtection="1">
      <alignment horizontal="center" textRotation="90" wrapText="1"/>
    </xf>
    <xf numFmtId="0" fontId="3" fillId="0" borderId="9" xfId="0" applyNumberFormat="1" applyFont="1" applyFill="1" applyBorder="1" applyAlignment="1" applyProtection="1">
      <alignment horizontal="right"/>
    </xf>
    <xf numFmtId="0" fontId="0" fillId="0" borderId="9" xfId="0" applyFill="1" applyBorder="1" applyAlignment="1" applyProtection="1">
      <alignment horizontal="right"/>
    </xf>
    <xf numFmtId="10" fontId="0" fillId="0" borderId="9" xfId="0" applyNumberFormat="1" applyFill="1" applyBorder="1" applyAlignment="1" applyProtection="1">
      <alignment horizontal="center"/>
    </xf>
    <xf numFmtId="0" fontId="3" fillId="10" borderId="1" xfId="0" applyFont="1" applyFill="1" applyBorder="1" applyAlignment="1" applyProtection="1">
      <alignment horizontal="center"/>
    </xf>
    <xf numFmtId="0" fontId="37" fillId="11" borderId="107" xfId="0" applyFont="1" applyFill="1" applyBorder="1" applyAlignment="1" applyProtection="1">
      <alignment horizontal="center"/>
    </xf>
    <xf numFmtId="0" fontId="37" fillId="11" borderId="1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/>
    <xf numFmtId="0" fontId="3" fillId="9" borderId="2" xfId="0" applyFont="1" applyFill="1" applyBorder="1" applyAlignment="1" applyProtection="1">
      <alignment horizontal="center"/>
    </xf>
    <xf numFmtId="0" fontId="3" fillId="9" borderId="1" xfId="0" applyFont="1" applyFill="1" applyBorder="1" applyAlignment="1" applyProtection="1">
      <alignment horizontal="center"/>
    </xf>
    <xf numFmtId="0" fontId="3" fillId="9" borderId="14" xfId="0" applyFont="1" applyFill="1" applyBorder="1" applyAlignment="1" applyProtection="1">
      <alignment horizontal="center"/>
    </xf>
    <xf numFmtId="49" fontId="8" fillId="2" borderId="0" xfId="0" applyNumberFormat="1" applyFont="1" applyFill="1" applyBorder="1" applyAlignment="1" applyProtection="1">
      <alignment textRotation="90" wrapText="1"/>
    </xf>
    <xf numFmtId="0" fontId="4" fillId="0" borderId="72" xfId="0" applyFont="1" applyBorder="1" applyAlignment="1" applyProtection="1">
      <alignment textRotation="90"/>
    </xf>
    <xf numFmtId="0" fontId="4" fillId="0" borderId="14" xfId="0" applyFont="1" applyBorder="1" applyAlignment="1" applyProtection="1">
      <alignment textRotation="90"/>
    </xf>
    <xf numFmtId="0" fontId="4" fillId="0" borderId="48" xfId="0" applyFont="1" applyBorder="1" applyAlignment="1" applyProtection="1">
      <alignment textRotation="90"/>
    </xf>
    <xf numFmtId="0" fontId="4" fillId="0" borderId="109" xfId="0" applyFont="1" applyFill="1" applyBorder="1" applyAlignment="1" applyProtection="1">
      <alignment horizontal="right"/>
    </xf>
    <xf numFmtId="0" fontId="57" fillId="2" borderId="0" xfId="0" applyFont="1" applyFill="1" applyBorder="1" applyAlignment="1" applyProtection="1">
      <alignment textRotation="90" wrapText="1"/>
    </xf>
    <xf numFmtId="0" fontId="8" fillId="2" borderId="0" xfId="0" applyFont="1" applyFill="1" applyAlignment="1" applyProtection="1">
      <alignment textRotation="90" wrapText="1"/>
    </xf>
    <xf numFmtId="0" fontId="8" fillId="2" borderId="0" xfId="0" applyFont="1" applyFill="1" applyBorder="1" applyAlignment="1" applyProtection="1">
      <alignment horizontal="center" textRotation="90" wrapText="1"/>
    </xf>
    <xf numFmtId="0" fontId="8" fillId="2" borderId="0" xfId="0" applyFont="1" applyFill="1" applyAlignment="1" applyProtection="1">
      <alignment horizontal="center" wrapText="1"/>
    </xf>
    <xf numFmtId="0" fontId="1" fillId="0" borderId="1" xfId="0" applyFont="1" applyBorder="1" applyAlignment="1" applyProtection="1">
      <alignment horizontal="center" textRotation="90"/>
    </xf>
    <xf numFmtId="0" fontId="4" fillId="0" borderId="28" xfId="0" applyFont="1" applyBorder="1" applyAlignment="1" applyProtection="1">
      <alignment horizontal="center" textRotation="90"/>
    </xf>
    <xf numFmtId="0" fontId="0" fillId="0" borderId="28" xfId="0" applyBorder="1" applyAlignment="1" applyProtection="1">
      <alignment horizontal="center"/>
    </xf>
    <xf numFmtId="0" fontId="37" fillId="0" borderId="12" xfId="0" applyFont="1" applyFill="1" applyBorder="1" applyAlignment="1" applyProtection="1">
      <alignment horizontal="center" textRotation="90" wrapText="1"/>
    </xf>
    <xf numFmtId="0" fontId="37" fillId="0" borderId="0" xfId="0" applyFont="1" applyFill="1" applyBorder="1" applyAlignment="1" applyProtection="1">
      <alignment horizontal="center" textRotation="90" wrapText="1"/>
    </xf>
    <xf numFmtId="0" fontId="1" fillId="0" borderId="105" xfId="0" applyFont="1" applyBorder="1" applyAlignment="1" applyProtection="1">
      <alignment horizontal="center" textRotation="90"/>
    </xf>
    <xf numFmtId="0" fontId="4" fillId="0" borderId="106" xfId="0" applyFont="1" applyBorder="1" applyAlignment="1" applyProtection="1">
      <alignment horizontal="center" textRotation="90"/>
    </xf>
    <xf numFmtId="0" fontId="0" fillId="0" borderId="106" xfId="0" applyBorder="1" applyAlignment="1" applyProtection="1">
      <alignment horizontal="center"/>
    </xf>
    <xf numFmtId="0" fontId="37" fillId="4" borderId="14" xfId="0" applyFont="1" applyFill="1" applyBorder="1" applyAlignment="1" applyProtection="1">
      <alignment horizontal="center"/>
    </xf>
    <xf numFmtId="0" fontId="37" fillId="4" borderId="101" xfId="0" applyFont="1" applyFill="1" applyBorder="1" applyAlignment="1" applyProtection="1">
      <alignment horizontal="center"/>
    </xf>
    <xf numFmtId="0" fontId="4" fillId="0" borderId="28" xfId="0" applyFont="1" applyBorder="1" applyAlignment="1" applyProtection="1">
      <alignment horizontal="center" textRotation="90" wrapText="1"/>
    </xf>
    <xf numFmtId="0" fontId="4" fillId="0" borderId="24" xfId="0" applyFont="1" applyBorder="1" applyAlignment="1" applyProtection="1">
      <alignment horizontal="center" textRotation="90" wrapText="1"/>
    </xf>
    <xf numFmtId="0" fontId="0" fillId="0" borderId="24" xfId="0" applyBorder="1" applyAlignment="1" applyProtection="1">
      <alignment horizontal="center" wrapText="1"/>
    </xf>
    <xf numFmtId="0" fontId="6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/>
    </xf>
    <xf numFmtId="0" fontId="3" fillId="7" borderId="1" xfId="0" applyFont="1" applyFill="1" applyBorder="1" applyAlignment="1" applyProtection="1">
      <alignment horizontal="center"/>
    </xf>
    <xf numFmtId="0" fontId="0" fillId="7" borderId="1" xfId="0" applyFill="1" applyBorder="1" applyAlignment="1" applyProtection="1"/>
    <xf numFmtId="0" fontId="0" fillId="7" borderId="14" xfId="0" applyFill="1" applyBorder="1" applyAlignment="1" applyProtection="1"/>
    <xf numFmtId="0" fontId="3" fillId="9" borderId="100" xfId="0" applyFont="1" applyFill="1" applyBorder="1" applyAlignment="1" applyProtection="1">
      <alignment horizontal="center"/>
    </xf>
    <xf numFmtId="0" fontId="0" fillId="9" borderId="3" xfId="0" applyFill="1" applyBorder="1" applyAlignment="1" applyProtection="1"/>
    <xf numFmtId="0" fontId="0" fillId="9" borderId="101" xfId="0" applyFill="1" applyBorder="1" applyAlignment="1" applyProtection="1"/>
    <xf numFmtId="0" fontId="37" fillId="11" borderId="14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textRotation="90" wrapText="1"/>
    </xf>
    <xf numFmtId="0" fontId="4" fillId="0" borderId="1" xfId="0" applyFont="1" applyBorder="1" applyAlignment="1" applyProtection="1">
      <alignment horizontal="center" textRotation="90" wrapText="1"/>
    </xf>
    <xf numFmtId="0" fontId="3" fillId="10" borderId="2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wrapText="1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2" fontId="12" fillId="0" borderId="28" xfId="0" applyNumberFormat="1" applyFont="1" applyBorder="1" applyAlignment="1" applyProtection="1">
      <alignment horizontal="center" vertical="center" textRotation="90" wrapText="1"/>
    </xf>
    <xf numFmtId="0" fontId="0" fillId="0" borderId="24" xfId="0" applyBorder="1" applyAlignment="1" applyProtection="1">
      <alignment wrapText="1"/>
    </xf>
    <xf numFmtId="0" fontId="0" fillId="0" borderId="12" xfId="0" applyBorder="1" applyAlignment="1" applyProtection="1">
      <alignment wrapText="1"/>
    </xf>
    <xf numFmtId="0" fontId="0" fillId="0" borderId="13" xfId="0" applyBorder="1" applyAlignment="1" applyProtection="1">
      <alignment wrapText="1"/>
    </xf>
    <xf numFmtId="2" fontId="57" fillId="3" borderId="1" xfId="0" applyNumberFormat="1" applyFont="1" applyFill="1" applyBorder="1" applyAlignment="1" applyProtection="1">
      <alignment horizontal="center" vertical="center" textRotation="90" wrapText="1"/>
    </xf>
    <xf numFmtId="0" fontId="0" fillId="0" borderId="1" xfId="0" applyBorder="1" applyAlignment="1" applyProtection="1">
      <alignment wrapText="1"/>
    </xf>
    <xf numFmtId="0" fontId="12" fillId="3" borderId="1" xfId="0" applyFont="1" applyFill="1" applyBorder="1" applyAlignment="1" applyProtection="1">
      <alignment horizontal="center" vertical="center" textRotation="90" wrapText="1"/>
    </xf>
    <xf numFmtId="0" fontId="38" fillId="2" borderId="0" xfId="0" applyFont="1" applyFill="1" applyAlignment="1" applyProtection="1">
      <alignment horizontal="center" textRotation="90"/>
    </xf>
    <xf numFmtId="0" fontId="8" fillId="2" borderId="0" xfId="0" applyFont="1" applyFill="1" applyAlignment="1" applyProtection="1">
      <alignment horizontal="center" textRotation="90"/>
    </xf>
    <xf numFmtId="49" fontId="8" fillId="2" borderId="0" xfId="0" applyNumberFormat="1" applyFont="1" applyFill="1" applyBorder="1" applyAlignment="1" applyProtection="1">
      <alignment horizontal="center" textRotation="90"/>
    </xf>
    <xf numFmtId="0" fontId="8" fillId="2" borderId="0" xfId="0" applyFont="1" applyFill="1" applyBorder="1" applyAlignment="1" applyProtection="1">
      <alignment horizontal="center" textRotation="90"/>
    </xf>
    <xf numFmtId="0" fontId="4" fillId="9" borderId="40" xfId="0" applyFont="1" applyFill="1" applyBorder="1" applyAlignment="1" applyProtection="1">
      <alignment horizontal="center" vertical="center" textRotation="90"/>
    </xf>
    <xf numFmtId="0" fontId="0" fillId="9" borderId="23" xfId="0" applyFill="1" applyBorder="1" applyAlignment="1" applyProtection="1">
      <alignment horizontal="center" vertical="center" textRotation="90"/>
    </xf>
    <xf numFmtId="0" fontId="0" fillId="9" borderId="8" xfId="0" applyFill="1" applyBorder="1" applyAlignment="1" applyProtection="1">
      <alignment horizontal="center" vertical="center" textRotation="90"/>
    </xf>
    <xf numFmtId="0" fontId="1" fillId="9" borderId="28" xfId="0" applyFont="1" applyFill="1" applyBorder="1" applyAlignment="1" applyProtection="1">
      <alignment horizontal="center" vertical="center" textRotation="90" wrapText="1"/>
    </xf>
    <xf numFmtId="0" fontId="0" fillId="9" borderId="24" xfId="0" applyFill="1" applyBorder="1" applyAlignment="1" applyProtection="1">
      <alignment horizontal="center" vertical="center" wrapText="1"/>
    </xf>
    <xf numFmtId="0" fontId="0" fillId="9" borderId="25" xfId="0" applyFill="1" applyBorder="1" applyAlignment="1" applyProtection="1">
      <alignment horizontal="center" vertical="center" wrapText="1"/>
    </xf>
    <xf numFmtId="0" fontId="1" fillId="9" borderId="40" xfId="0" applyFont="1" applyFill="1" applyBorder="1" applyAlignment="1" applyProtection="1">
      <alignment horizontal="center" vertical="center"/>
    </xf>
    <xf numFmtId="0" fontId="0" fillId="9" borderId="11" xfId="0" applyFill="1" applyBorder="1" applyAlignment="1" applyProtection="1"/>
    <xf numFmtId="0" fontId="0" fillId="9" borderId="10" xfId="0" applyFill="1" applyBorder="1" applyAlignment="1" applyProtection="1"/>
    <xf numFmtId="0" fontId="0" fillId="9" borderId="23" xfId="0" applyFill="1" applyBorder="1" applyAlignment="1" applyProtection="1"/>
    <xf numFmtId="0" fontId="0" fillId="9" borderId="0" xfId="0" applyFill="1" applyBorder="1" applyAlignment="1" applyProtection="1"/>
    <xf numFmtId="0" fontId="0" fillId="9" borderId="12" xfId="0" applyFill="1" applyBorder="1" applyAlignment="1" applyProtection="1"/>
    <xf numFmtId="0" fontId="0" fillId="9" borderId="8" xfId="0" applyFill="1" applyBorder="1" applyAlignment="1" applyProtection="1"/>
    <xf numFmtId="0" fontId="0" fillId="9" borderId="9" xfId="0" applyFill="1" applyBorder="1" applyAlignment="1" applyProtection="1"/>
    <xf numFmtId="0" fontId="0" fillId="9" borderId="13" xfId="0" applyFill="1" applyBorder="1" applyAlignment="1" applyProtection="1"/>
    <xf numFmtId="0" fontId="11" fillId="0" borderId="1" xfId="0" applyFont="1" applyBorder="1" applyAlignment="1" applyProtection="1">
      <alignment horizontal="center"/>
    </xf>
    <xf numFmtId="0" fontId="4" fillId="0" borderId="28" xfId="0" applyFont="1" applyBorder="1" applyAlignment="1" applyProtection="1">
      <alignment textRotation="90"/>
    </xf>
    <xf numFmtId="0" fontId="4" fillId="0" borderId="24" xfId="0" applyFont="1" applyBorder="1" applyAlignment="1" applyProtection="1">
      <alignment textRotation="90"/>
    </xf>
    <xf numFmtId="0" fontId="4" fillId="0" borderId="99" xfId="0" applyFont="1" applyBorder="1" applyAlignment="1" applyProtection="1">
      <alignment textRotation="90"/>
    </xf>
    <xf numFmtId="0" fontId="1" fillId="0" borderId="27" xfId="0" applyFont="1" applyBorder="1" applyAlignment="1" applyProtection="1">
      <alignment textRotation="90"/>
    </xf>
    <xf numFmtId="0" fontId="4" fillId="0" borderId="1" xfId="0" applyFont="1" applyBorder="1" applyAlignment="1" applyProtection="1">
      <alignment textRotation="90"/>
    </xf>
    <xf numFmtId="0" fontId="4" fillId="0" borderId="102" xfId="0" applyFont="1" applyBorder="1" applyAlignment="1" applyProtection="1">
      <alignment textRotation="90"/>
    </xf>
    <xf numFmtId="0" fontId="4" fillId="0" borderId="1" xfId="0" applyFont="1" applyBorder="1" applyAlignment="1" applyProtection="1">
      <alignment horizontal="center" textRotation="90"/>
    </xf>
    <xf numFmtId="0" fontId="4" fillId="0" borderId="24" xfId="0" applyFont="1" applyBorder="1" applyAlignment="1" applyProtection="1">
      <alignment horizontal="left" textRotation="90" wrapText="1"/>
    </xf>
    <xf numFmtId="0" fontId="0" fillId="0" borderId="24" xfId="0" applyBorder="1" applyAlignment="1" applyProtection="1">
      <alignment horizontal="left" wrapText="1"/>
    </xf>
    <xf numFmtId="0" fontId="1" fillId="0" borderId="14" xfId="0" applyFont="1" applyBorder="1" applyAlignment="1" applyProtection="1">
      <alignment horizontal="center" textRotation="90"/>
    </xf>
    <xf numFmtId="0" fontId="4" fillId="0" borderId="40" xfId="0" applyFont="1" applyBorder="1" applyAlignment="1" applyProtection="1">
      <alignment horizontal="center" textRotation="90"/>
    </xf>
    <xf numFmtId="0" fontId="0" fillId="0" borderId="40" xfId="0" applyBorder="1" applyAlignment="1" applyProtection="1">
      <alignment horizontal="center"/>
    </xf>
    <xf numFmtId="0" fontId="3" fillId="9" borderId="14" xfId="0" applyFont="1" applyFill="1" applyBorder="1" applyAlignment="1" applyProtection="1">
      <alignment horizontal="right" vertical="center" wrapText="1"/>
    </xf>
    <xf numFmtId="0" fontId="3" fillId="9" borderId="3" xfId="0" applyFont="1" applyFill="1" applyBorder="1" applyAlignment="1" applyProtection="1">
      <alignment horizontal="right" vertical="center" wrapText="1"/>
    </xf>
    <xf numFmtId="0" fontId="4" fillId="9" borderId="103" xfId="0" applyFont="1" applyFill="1" applyBorder="1" applyAlignment="1" applyProtection="1">
      <alignment horizontal="left" vertical="center"/>
    </xf>
    <xf numFmtId="0" fontId="4" fillId="0" borderId="8" xfId="0" applyFont="1" applyBorder="1" applyAlignment="1" applyProtection="1">
      <alignment textRotation="90"/>
    </xf>
    <xf numFmtId="0" fontId="4" fillId="0" borderId="40" xfId="0" applyFont="1" applyBorder="1" applyAlignment="1" applyProtection="1">
      <alignment textRotation="90"/>
    </xf>
    <xf numFmtId="14" fontId="0" fillId="0" borderId="68" xfId="0" applyNumberFormat="1" applyBorder="1" applyAlignment="1" applyProtection="1">
      <alignment horizontal="center"/>
      <protection locked="0"/>
    </xf>
    <xf numFmtId="14" fontId="0" fillId="0" borderId="68" xfId="0" applyNumberFormat="1" applyFill="1" applyBorder="1" applyAlignment="1" applyProtection="1">
      <alignment horizontal="center"/>
      <protection locked="0"/>
    </xf>
    <xf numFmtId="0" fontId="0" fillId="0" borderId="194" xfId="0" applyBorder="1" applyAlignment="1" applyProtection="1">
      <alignment horizontal="center"/>
      <protection locked="0"/>
    </xf>
    <xf numFmtId="0" fontId="1" fillId="0" borderId="70" xfId="0" applyFont="1" applyBorder="1" applyAlignment="1" applyProtection="1">
      <alignment horizontal="center"/>
      <protection locked="0"/>
    </xf>
    <xf numFmtId="14" fontId="4" fillId="0" borderId="68" xfId="0" applyNumberFormat="1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/>
    <xf numFmtId="0" fontId="3" fillId="0" borderId="0" xfId="0" applyFont="1" applyFill="1" applyBorder="1" applyAlignment="1" applyProtection="1"/>
    <xf numFmtId="0" fontId="0" fillId="0" borderId="0" xfId="0" applyAlignment="1"/>
    <xf numFmtId="0" fontId="3" fillId="0" borderId="91" xfId="0" applyFont="1" applyBorder="1" applyAlignment="1" applyProtection="1">
      <alignment horizontal="center"/>
    </xf>
    <xf numFmtId="0" fontId="0" fillId="0" borderId="92" xfId="0" applyBorder="1" applyAlignment="1">
      <alignment horizontal="center"/>
    </xf>
    <xf numFmtId="0" fontId="0" fillId="0" borderId="93" xfId="0" applyBorder="1" applyAlignment="1">
      <alignment horizontal="center"/>
    </xf>
    <xf numFmtId="0" fontId="3" fillId="0" borderId="0" xfId="0" applyFont="1" applyAlignment="1" applyProtection="1">
      <alignment horizontal="right"/>
    </xf>
    <xf numFmtId="0" fontId="0" fillId="0" borderId="0" xfId="0" applyBorder="1" applyAlignment="1">
      <alignment horizontal="right"/>
    </xf>
    <xf numFmtId="0" fontId="3" fillId="0" borderId="0" xfId="0" applyFont="1" applyBorder="1" applyAlignment="1" applyProtection="1">
      <alignment horizontal="right" wrapText="1"/>
    </xf>
    <xf numFmtId="0" fontId="0" fillId="0" borderId="0" xfId="0" applyBorder="1" applyAlignment="1"/>
    <xf numFmtId="0" fontId="3" fillId="0" borderId="0" xfId="0" applyFont="1" applyBorder="1" applyAlignment="1">
      <alignment horizontal="right"/>
    </xf>
    <xf numFmtId="0" fontId="0" fillId="0" borderId="69" xfId="0" applyBorder="1" applyAlignment="1" applyProtection="1">
      <alignment horizontal="center" vertical="center"/>
      <protection locked="0"/>
    </xf>
    <xf numFmtId="0" fontId="3" fillId="0" borderId="94" xfId="0" applyFont="1" applyFill="1" applyBorder="1" applyAlignment="1" applyProtection="1">
      <alignment horizontal="center"/>
      <protection locked="0"/>
    </xf>
    <xf numFmtId="0" fontId="0" fillId="0" borderId="95" xfId="0" applyBorder="1" applyAlignment="1" applyProtection="1">
      <alignment horizontal="center"/>
      <protection locked="0"/>
    </xf>
    <xf numFmtId="0" fontId="0" fillId="0" borderId="68" xfId="0" applyBorder="1" applyAlignment="1" applyProtection="1">
      <alignment wrapText="1"/>
      <protection locked="0"/>
    </xf>
    <xf numFmtId="0" fontId="1" fillId="0" borderId="70" xfId="0" applyFont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 applyProtection="1">
      <alignment horizontal="left" vertical="center"/>
    </xf>
    <xf numFmtId="0" fontId="3" fillId="0" borderId="40" xfId="0" applyFont="1" applyBorder="1" applyAlignment="1" applyProtection="1">
      <alignment horizontal="center"/>
    </xf>
    <xf numFmtId="0" fontId="0" fillId="0" borderId="10" xfId="0" applyBorder="1" applyAlignment="1"/>
    <xf numFmtId="0" fontId="3" fillId="0" borderId="8" xfId="0" applyFont="1" applyBorder="1" applyAlignment="1" applyProtection="1">
      <alignment horizontal="center"/>
    </xf>
    <xf numFmtId="0" fontId="0" fillId="0" borderId="13" xfId="0" applyBorder="1" applyAlignment="1"/>
    <xf numFmtId="0" fontId="3" fillId="0" borderId="1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166" fontId="4" fillId="0" borderId="14" xfId="0" applyNumberFormat="1" applyFont="1" applyBorder="1" applyAlignment="1" applyProtection="1">
      <alignment horizontal="center"/>
    </xf>
    <xf numFmtId="166" fontId="4" fillId="0" borderId="2" xfId="0" applyNumberFormat="1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3" fillId="0" borderId="197" xfId="0" applyFont="1" applyFill="1" applyBorder="1" applyAlignment="1" applyProtection="1">
      <alignment horizontal="center"/>
    </xf>
    <xf numFmtId="0" fontId="0" fillId="0" borderId="198" xfId="0" applyBorder="1" applyAlignment="1">
      <alignment horizontal="center"/>
    </xf>
    <xf numFmtId="0" fontId="1" fillId="0" borderId="98" xfId="0" applyFont="1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center" vertical="center"/>
    </xf>
    <xf numFmtId="0" fontId="1" fillId="0" borderId="69" xfId="0" applyFont="1" applyBorder="1" applyAlignment="1" applyProtection="1">
      <alignment horizontal="center" vertical="center"/>
      <protection locked="0"/>
    </xf>
    <xf numFmtId="0" fontId="3" fillId="0" borderId="91" xfId="0" applyFont="1" applyFill="1" applyBorder="1" applyAlignment="1" applyProtection="1">
      <alignment horizontal="center"/>
    </xf>
    <xf numFmtId="0" fontId="0" fillId="0" borderId="98" xfId="0" applyBorder="1" applyAlignment="1">
      <alignment horizontal="center" vertical="center"/>
    </xf>
    <xf numFmtId="0" fontId="0" fillId="0" borderId="195" xfId="0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/>
    <xf numFmtId="0" fontId="9" fillId="0" borderId="6" xfId="0" applyFont="1" applyBorder="1" applyAlignment="1" applyProtection="1">
      <alignment horizontal="left" vertical="center"/>
    </xf>
    <xf numFmtId="0" fontId="9" fillId="0" borderId="112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/>
    </xf>
    <xf numFmtId="0" fontId="9" fillId="0" borderId="112" xfId="0" applyFont="1" applyBorder="1" applyAlignment="1" applyProtection="1">
      <alignment horizontal="left"/>
    </xf>
    <xf numFmtId="0" fontId="9" fillId="0" borderId="6" xfId="0" applyFont="1" applyFill="1" applyBorder="1" applyAlignment="1" applyProtection="1">
      <alignment horizontal="left" vertical="center"/>
    </xf>
    <xf numFmtId="0" fontId="9" fillId="0" borderId="112" xfId="0" applyFont="1" applyFill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center" vertical="center"/>
    </xf>
    <xf numFmtId="0" fontId="0" fillId="0" borderId="8" xfId="0" applyBorder="1" applyAlignment="1"/>
    <xf numFmtId="1" fontId="9" fillId="3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9" fillId="14" borderId="14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43" fillId="0" borderId="28" xfId="0" applyFont="1" applyBorder="1" applyAlignment="1" applyProtection="1">
      <alignment horizontal="center" vertical="center" wrapText="1"/>
    </xf>
    <xf numFmtId="0" fontId="44" fillId="0" borderId="28" xfId="0" applyFont="1" applyBorder="1" applyAlignment="1" applyProtection="1">
      <alignment horizontal="center" vertical="center"/>
    </xf>
    <xf numFmtId="0" fontId="44" fillId="0" borderId="24" xfId="0" applyFont="1" applyBorder="1" applyAlignment="1" applyProtection="1">
      <alignment horizontal="center" vertical="center"/>
    </xf>
    <xf numFmtId="2" fontId="9" fillId="0" borderId="3" xfId="0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/>
    </xf>
    <xf numFmtId="3" fontId="9" fillId="0" borderId="1" xfId="0" applyNumberFormat="1" applyFont="1" applyFill="1" applyBorder="1" applyAlignment="1" applyProtection="1">
      <alignment horizontal="center" vertical="center"/>
    </xf>
    <xf numFmtId="0" fontId="21" fillId="0" borderId="28" xfId="0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2" fillId="0" borderId="113" xfId="0" applyFont="1" applyFill="1" applyBorder="1" applyAlignment="1" applyProtection="1">
      <alignment horizontal="center" wrapText="1"/>
    </xf>
    <xf numFmtId="0" fontId="2" fillId="0" borderId="34" xfId="0" applyFont="1" applyFill="1" applyBorder="1" applyAlignment="1" applyProtection="1">
      <alignment horizontal="center" wrapText="1"/>
    </xf>
    <xf numFmtId="0" fontId="2" fillId="0" borderId="114" xfId="0" applyFont="1" applyFill="1" applyBorder="1" applyAlignment="1" applyProtection="1">
      <alignment horizontal="center" wrapText="1"/>
    </xf>
    <xf numFmtId="0" fontId="21" fillId="0" borderId="0" xfId="0" applyFont="1" applyAlignment="1" applyProtection="1">
      <alignment horizontal="right"/>
    </xf>
    <xf numFmtId="0" fontId="2" fillId="0" borderId="11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12" xfId="0" applyBorder="1" applyAlignment="1" applyProtection="1"/>
    <xf numFmtId="0" fontId="9" fillId="0" borderId="137" xfId="0" applyFont="1" applyBorder="1" applyAlignment="1" applyProtection="1">
      <alignment horizontal="center" vertical="center"/>
      <protection locked="0"/>
    </xf>
    <xf numFmtId="0" fontId="9" fillId="0" borderId="1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 wrapText="1"/>
    </xf>
    <xf numFmtId="0" fontId="43" fillId="0" borderId="40" xfId="0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33" xfId="0" applyFont="1" applyBorder="1" applyAlignment="1" applyProtection="1">
      <alignment horizontal="center" vertical="center"/>
    </xf>
    <xf numFmtId="0" fontId="4" fillId="0" borderId="134" xfId="0" applyFont="1" applyBorder="1" applyAlignment="1">
      <alignment horizontal="center" vertical="center"/>
    </xf>
    <xf numFmtId="0" fontId="0" fillId="0" borderId="10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1" fontId="9" fillId="14" borderId="1" xfId="0" applyNumberFormat="1" applyFont="1" applyFill="1" applyBorder="1" applyAlignment="1" applyProtection="1">
      <alignment horizontal="center" vertical="center" wrapText="1"/>
    </xf>
    <xf numFmtId="2" fontId="4" fillId="0" borderId="3" xfId="0" applyNumberFormat="1" applyFont="1" applyBorder="1" applyAlignment="1" applyProtection="1">
      <alignment horizontal="center" vertical="center"/>
    </xf>
    <xf numFmtId="3" fontId="9" fillId="0" borderId="135" xfId="0" applyNumberFormat="1" applyFont="1" applyFill="1" applyBorder="1" applyAlignment="1" applyProtection="1">
      <alignment horizontal="center" vertical="center"/>
      <protection locked="0"/>
    </xf>
    <xf numFmtId="3" fontId="4" fillId="0" borderId="136" xfId="0" applyNumberFormat="1" applyFont="1" applyBorder="1" applyAlignment="1" applyProtection="1">
      <alignment horizontal="center" vertical="center"/>
      <protection locked="0"/>
    </xf>
    <xf numFmtId="1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201" xfId="0" applyBorder="1" applyAlignment="1" applyProtection="1">
      <alignment horizontal="center" vertical="center" wrapText="1"/>
    </xf>
    <xf numFmtId="0" fontId="0" fillId="0" borderId="146" xfId="0" applyNumberFormat="1" applyBorder="1" applyAlignment="1" applyProtection="1">
      <alignment horizontal="center" vertical="center"/>
      <protection locked="0"/>
    </xf>
    <xf numFmtId="0" fontId="3" fillId="0" borderId="115" xfId="0" applyFont="1" applyFill="1" applyBorder="1" applyAlignment="1" applyProtection="1">
      <alignment textRotation="90" wrapText="1"/>
    </xf>
    <xf numFmtId="0" fontId="0" fillId="0" borderId="116" xfId="0" applyBorder="1" applyAlignment="1" applyProtection="1"/>
    <xf numFmtId="0" fontId="0" fillId="0" borderId="117" xfId="0" applyBorder="1" applyAlignment="1" applyProtection="1"/>
    <xf numFmtId="0" fontId="3" fillId="0" borderId="118" xfId="0" applyFont="1" applyFill="1" applyBorder="1" applyAlignment="1" applyProtection="1">
      <alignment horizontal="center" textRotation="90" wrapText="1"/>
    </xf>
    <xf numFmtId="0" fontId="0" fillId="0" borderId="119" xfId="0" applyFill="1" applyBorder="1" applyAlignment="1" applyProtection="1">
      <alignment wrapText="1"/>
    </xf>
    <xf numFmtId="0" fontId="0" fillId="0" borderId="120" xfId="0" applyFill="1" applyBorder="1" applyAlignment="1" applyProtection="1">
      <alignment wrapText="1"/>
    </xf>
    <xf numFmtId="0" fontId="25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9" borderId="9" xfId="0" applyNumberFormat="1" applyFont="1" applyFill="1" applyBorder="1" applyAlignment="1" applyProtection="1">
      <alignment horizontal="center" vertical="center"/>
    </xf>
    <xf numFmtId="0" fontId="3" fillId="9" borderId="0" xfId="0" applyNumberFormat="1" applyFont="1" applyFill="1" applyBorder="1" applyAlignment="1" applyProtection="1">
      <alignment horizontal="left" wrapText="1"/>
    </xf>
    <xf numFmtId="0" fontId="0" fillId="9" borderId="0" xfId="0" applyFill="1" applyAlignment="1">
      <alignment horizontal="left" wrapText="1"/>
    </xf>
    <xf numFmtId="0" fontId="2" fillId="8" borderId="0" xfId="0" applyFont="1" applyFill="1" applyAlignment="1" applyProtection="1">
      <alignment horizontal="center"/>
    </xf>
    <xf numFmtId="0" fontId="0" fillId="8" borderId="0" xfId="0" applyFill="1" applyAlignment="1">
      <alignment horizontal="center"/>
    </xf>
    <xf numFmtId="0" fontId="28" fillId="0" borderId="0" xfId="0" applyFont="1" applyAlignment="1" applyProtection="1">
      <alignment horizontal="center" wrapText="1"/>
    </xf>
    <xf numFmtId="0" fontId="0" fillId="0" borderId="0" xfId="0" applyBorder="1" applyAlignment="1">
      <alignment horizontal="center" wrapText="1"/>
    </xf>
    <xf numFmtId="0" fontId="27" fillId="0" borderId="0" xfId="0" applyFont="1" applyAlignment="1" applyProtection="1">
      <alignment horizontal="center" wrapText="1"/>
    </xf>
    <xf numFmtId="0" fontId="30" fillId="0" borderId="0" xfId="0" applyFont="1" applyBorder="1" applyAlignment="1" applyProtection="1">
      <alignment horizontal="center" wrapText="1"/>
    </xf>
    <xf numFmtId="0" fontId="0" fillId="0" borderId="9" xfId="0" applyBorder="1" applyAlignment="1"/>
    <xf numFmtId="0" fontId="46" fillId="0" borderId="0" xfId="0" applyFont="1" applyBorder="1" applyAlignment="1" applyProtection="1">
      <alignment horizontal="center" wrapText="1"/>
    </xf>
    <xf numFmtId="0" fontId="54" fillId="9" borderId="160" xfId="0" applyFont="1" applyFill="1" applyBorder="1" applyAlignment="1" applyProtection="1">
      <alignment horizontal="center" vertical="center"/>
      <protection locked="0"/>
    </xf>
    <xf numFmtId="0" fontId="0" fillId="0" borderId="158" xfId="0" applyBorder="1" applyAlignment="1">
      <alignment horizontal="center" vertical="center"/>
    </xf>
    <xf numFmtId="0" fontId="0" fillId="9" borderId="160" xfId="0" applyFill="1" applyBorder="1" applyAlignment="1" applyProtection="1">
      <alignment horizontal="center" vertical="center"/>
    </xf>
    <xf numFmtId="0" fontId="4" fillId="0" borderId="126" xfId="0" applyFont="1" applyBorder="1" applyAlignment="1" applyProtection="1">
      <alignment horizontal="center" vertical="center" textRotation="90" wrapText="1"/>
    </xf>
    <xf numFmtId="0" fontId="0" fillId="0" borderId="126" xfId="0" applyBorder="1" applyAlignment="1">
      <alignment horizontal="center" vertical="center" textRotation="90" wrapText="1"/>
    </xf>
    <xf numFmtId="0" fontId="0" fillId="0" borderId="69" xfId="0" applyBorder="1" applyAlignment="1" applyProtection="1">
      <alignment horizontal="center" wrapText="1"/>
      <protection locked="0"/>
    </xf>
    <xf numFmtId="0" fontId="0" fillId="0" borderId="70" xfId="0" applyBorder="1" applyAlignment="1" applyProtection="1">
      <protection locked="0"/>
    </xf>
    <xf numFmtId="0" fontId="0" fillId="0" borderId="185" xfId="0" applyBorder="1" applyAlignment="1" applyProtection="1">
      <alignment horizontal="center" wrapText="1"/>
      <protection locked="0"/>
    </xf>
    <xf numFmtId="0" fontId="0" fillId="0" borderId="186" xfId="0" applyBorder="1" applyAlignment="1" applyProtection="1">
      <protection locked="0"/>
    </xf>
    <xf numFmtId="0" fontId="0" fillId="0" borderId="187" xfId="0" applyBorder="1" applyAlignment="1" applyProtection="1">
      <protection locked="0"/>
    </xf>
    <xf numFmtId="0" fontId="0" fillId="0" borderId="188" xfId="0" applyBorder="1" applyAlignment="1" applyProtection="1">
      <protection locked="0"/>
    </xf>
    <xf numFmtId="0" fontId="0" fillId="0" borderId="14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69" xfId="0" applyBorder="1" applyAlignment="1" applyProtection="1">
      <alignment horizontal="center" vertical="center"/>
      <protection locked="0"/>
    </xf>
    <xf numFmtId="0" fontId="0" fillId="0" borderId="170" xfId="0" applyBorder="1" applyAlignment="1" applyProtection="1">
      <alignment horizontal="center" vertical="center"/>
      <protection locked="0"/>
    </xf>
    <xf numFmtId="0" fontId="0" fillId="0" borderId="165" xfId="0" applyBorder="1" applyAlignment="1" applyProtection="1">
      <alignment horizontal="center" vertical="center"/>
      <protection locked="0"/>
    </xf>
    <xf numFmtId="0" fontId="0" fillId="0" borderId="167" xfId="0" applyBorder="1" applyAlignment="1" applyProtection="1">
      <alignment horizontal="center" vertical="center"/>
      <protection locked="0"/>
    </xf>
    <xf numFmtId="0" fontId="0" fillId="9" borderId="156" xfId="0" applyFill="1" applyBorder="1" applyAlignment="1" applyProtection="1">
      <alignment horizontal="center" vertical="center"/>
    </xf>
    <xf numFmtId="0" fontId="0" fillId="9" borderId="157" xfId="0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69" xfId="0" applyNumberFormat="1" applyBorder="1" applyAlignment="1" applyProtection="1">
      <alignment horizontal="left"/>
      <protection locked="0"/>
    </xf>
    <xf numFmtId="0" fontId="0" fillId="0" borderId="70" xfId="0" applyBorder="1" applyAlignment="1"/>
    <xf numFmtId="0" fontId="0" fillId="0" borderId="8" xfId="0" applyBorder="1" applyAlignment="1">
      <alignment horizontal="center" vertical="center"/>
    </xf>
    <xf numFmtId="0" fontId="0" fillId="7" borderId="155" xfId="0" applyFill="1" applyBorder="1" applyAlignment="1" applyProtection="1">
      <alignment horizontal="center" vertical="center"/>
    </xf>
    <xf numFmtId="0" fontId="0" fillId="0" borderId="153" xfId="0" applyBorder="1" applyAlignment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0" fillId="7" borderId="152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54" fillId="8" borderId="164" xfId="0" applyFont="1" applyFill="1" applyBorder="1" applyAlignment="1" applyProtection="1">
      <alignment horizontal="center" vertical="center"/>
      <protection locked="0"/>
    </xf>
    <xf numFmtId="0" fontId="54" fillId="0" borderId="158" xfId="0" applyFont="1" applyBorder="1" applyAlignment="1" applyProtection="1">
      <alignment horizontal="center" vertical="center"/>
      <protection locked="0"/>
    </xf>
    <xf numFmtId="0" fontId="0" fillId="0" borderId="127" xfId="0" applyBorder="1" applyAlignment="1" applyProtection="1"/>
    <xf numFmtId="0" fontId="1" fillId="7" borderId="0" xfId="0" applyFont="1" applyFill="1" applyAlignment="1" applyProtection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4" fillId="7" borderId="168" xfId="0" applyFont="1" applyFill="1" applyBorder="1" applyAlignment="1" applyProtection="1">
      <alignment horizontal="center" vertical="center"/>
      <protection locked="0"/>
    </xf>
    <xf numFmtId="0" fontId="54" fillId="0" borderId="166" xfId="0" applyFont="1" applyBorder="1" applyAlignment="1" applyProtection="1">
      <alignment horizontal="center" vertical="center"/>
      <protection locked="0"/>
    </xf>
    <xf numFmtId="0" fontId="54" fillId="7" borderId="166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 applyProtection="1">
      <alignment horizontal="center" vertical="center"/>
    </xf>
    <xf numFmtId="0" fontId="48" fillId="0" borderId="161" xfId="0" applyFont="1" applyBorder="1" applyAlignment="1" applyProtection="1">
      <alignment horizontal="center" vertical="center"/>
      <protection locked="0"/>
    </xf>
    <xf numFmtId="0" fontId="48" fillId="0" borderId="162" xfId="0" applyFont="1" applyBorder="1" applyAlignment="1" applyProtection="1">
      <alignment horizontal="center" vertical="center"/>
      <protection locked="0"/>
    </xf>
    <xf numFmtId="0" fontId="48" fillId="7" borderId="154" xfId="0" applyFont="1" applyFill="1" applyBorder="1" applyAlignment="1" applyProtection="1">
      <alignment horizontal="center" vertical="center"/>
    </xf>
    <xf numFmtId="0" fontId="0" fillId="0" borderId="154" xfId="0" applyBorder="1" applyAlignment="1"/>
    <xf numFmtId="0" fontId="48" fillId="9" borderId="154" xfId="0" applyFont="1" applyFill="1" applyBorder="1" applyAlignment="1" applyProtection="1">
      <alignment horizontal="center" vertical="center"/>
    </xf>
    <xf numFmtId="0" fontId="0" fillId="9" borderId="154" xfId="0" applyFill="1" applyBorder="1" applyAlignment="1"/>
    <xf numFmtId="0" fontId="48" fillId="0" borderId="154" xfId="0" applyFont="1" applyFill="1" applyBorder="1" applyAlignment="1" applyProtection="1">
      <alignment horizontal="center" vertical="center"/>
    </xf>
    <xf numFmtId="0" fontId="0" fillId="0" borderId="154" xfId="0" applyFill="1" applyBorder="1" applyAlignment="1"/>
    <xf numFmtId="0" fontId="48" fillId="0" borderId="156" xfId="0" applyFont="1" applyBorder="1" applyAlignment="1" applyProtection="1">
      <alignment horizontal="center" vertical="center"/>
      <protection locked="0"/>
    </xf>
    <xf numFmtId="0" fontId="48" fillId="0" borderId="157" xfId="0" applyFont="1" applyBorder="1" applyAlignment="1" applyProtection="1">
      <alignment horizontal="center" vertical="center"/>
      <protection locked="0"/>
    </xf>
    <xf numFmtId="0" fontId="46" fillId="0" borderId="9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28" fillId="0" borderId="0" xfId="0" applyFont="1" applyBorder="1" applyAlignment="1" applyProtection="1">
      <alignment horizontal="center" wrapText="1"/>
    </xf>
    <xf numFmtId="0" fontId="4" fillId="0" borderId="1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28" fillId="0" borderId="9" xfId="0" applyFont="1" applyBorder="1" applyAlignment="1" applyProtection="1">
      <alignment horizontal="center" wrapText="1"/>
    </xf>
    <xf numFmtId="0" fontId="3" fillId="7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 applyProtection="1">
      <alignment horizontal="center" wrapText="1"/>
    </xf>
    <xf numFmtId="0" fontId="4" fillId="0" borderId="28" xfId="0" applyFont="1" applyFill="1" applyBorder="1" applyAlignment="1" applyProtection="1">
      <alignment horizontal="center" wrapText="1"/>
    </xf>
    <xf numFmtId="0" fontId="0" fillId="0" borderId="25" xfId="0" applyBorder="1" applyAlignment="1">
      <alignment wrapText="1"/>
    </xf>
    <xf numFmtId="0" fontId="0" fillId="0" borderId="24" xfId="0" applyBorder="1" applyAlignment="1">
      <alignment wrapText="1"/>
    </xf>
    <xf numFmtId="2" fontId="3" fillId="0" borderId="24" xfId="0" applyNumberFormat="1" applyFont="1" applyFill="1" applyBorder="1" applyAlignment="1" applyProtection="1">
      <alignment horizontal="center"/>
    </xf>
    <xf numFmtId="0" fontId="0" fillId="0" borderId="25" xfId="0" applyBorder="1" applyAlignment="1"/>
    <xf numFmtId="0" fontId="3" fillId="0" borderId="121" xfId="0" applyFont="1" applyBorder="1" applyAlignment="1" applyProtection="1">
      <alignment horizontal="center" vertical="top" wrapText="1"/>
      <protection locked="0"/>
    </xf>
    <xf numFmtId="0" fontId="0" fillId="0" borderId="122" xfId="0" applyBorder="1" applyAlignment="1">
      <alignment wrapText="1"/>
    </xf>
    <xf numFmtId="0" fontId="1" fillId="0" borderId="123" xfId="0" applyFont="1" applyBorder="1" applyAlignment="1" applyProtection="1">
      <alignment horizontal="center" vertical="center" wrapText="1"/>
      <protection locked="0"/>
    </xf>
    <xf numFmtId="0" fontId="0" fillId="0" borderId="124" xfId="0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0" xfId="0" applyBorder="1" applyAlignment="1" applyProtection="1">
      <alignment horizontal="center" vertical="center"/>
      <protection locked="0"/>
    </xf>
    <xf numFmtId="0" fontId="0" fillId="0" borderId="151" xfId="0" applyBorder="1" applyAlignment="1" applyProtection="1">
      <alignment horizontal="center" vertical="center"/>
      <protection locked="0"/>
    </xf>
    <xf numFmtId="0" fontId="2" fillId="8" borderId="0" xfId="0" applyFont="1" applyFill="1" applyAlignment="1" applyProtection="1">
      <alignment horizontal="left"/>
    </xf>
    <xf numFmtId="0" fontId="54" fillId="7" borderId="163" xfId="0" applyFont="1" applyFill="1" applyBorder="1" applyAlignment="1" applyProtection="1">
      <alignment horizontal="center" vertical="center"/>
      <protection locked="0"/>
    </xf>
    <xf numFmtId="0" fontId="4" fillId="0" borderId="126" xfId="0" applyFont="1" applyBorder="1" applyAlignment="1" applyProtection="1">
      <alignment horizontal="center" vertical="center" textRotation="90"/>
    </xf>
    <xf numFmtId="0" fontId="0" fillId="0" borderId="126" xfId="0" applyBorder="1" applyAlignment="1">
      <alignment horizontal="center" vertical="center" textRotation="90"/>
    </xf>
    <xf numFmtId="0" fontId="2" fillId="7" borderId="0" xfId="0" applyFont="1" applyFill="1" applyBorder="1" applyAlignment="1" applyProtection="1">
      <alignment horizontal="left" vertical="center"/>
    </xf>
    <xf numFmtId="0" fontId="48" fillId="0" borderId="139" xfId="0" applyFont="1" applyBorder="1" applyAlignment="1" applyProtection="1">
      <alignment horizontal="center" vertical="center"/>
      <protection locked="0"/>
    </xf>
    <xf numFmtId="0" fontId="0" fillId="0" borderId="144" xfId="0" applyBorder="1" applyAlignment="1" applyProtection="1">
      <alignment horizontal="center" vertical="center"/>
      <protection locked="0"/>
    </xf>
    <xf numFmtId="0" fontId="0" fillId="0" borderId="158" xfId="0" applyBorder="1" applyAlignment="1" applyProtection="1">
      <alignment horizontal="center" vertical="center"/>
      <protection locked="0"/>
    </xf>
    <xf numFmtId="0" fontId="0" fillId="0" borderId="24" xfId="0" applyBorder="1" applyAlignment="1"/>
    <xf numFmtId="0" fontId="1" fillId="0" borderId="126" xfId="0" applyFont="1" applyBorder="1" applyAlignment="1" applyProtection="1">
      <alignment horizontal="center" vertical="center" textRotation="90" wrapText="1"/>
    </xf>
    <xf numFmtId="0" fontId="2" fillId="0" borderId="145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48" fillId="0" borderId="169" xfId="0" applyFont="1" applyBorder="1" applyAlignment="1" applyProtection="1">
      <alignment horizontal="center" vertical="center"/>
      <protection locked="0"/>
    </xf>
    <xf numFmtId="0" fontId="48" fillId="0" borderId="170" xfId="0" applyFont="1" applyBorder="1" applyAlignment="1" applyProtection="1">
      <alignment horizontal="center" vertical="center"/>
      <protection locked="0"/>
    </xf>
    <xf numFmtId="0" fontId="0" fillId="0" borderId="182" xfId="0" applyBorder="1" applyAlignment="1" applyProtection="1">
      <alignment horizontal="center" vertical="center"/>
      <protection locked="0"/>
    </xf>
    <xf numFmtId="0" fontId="0" fillId="0" borderId="181" xfId="0" applyBorder="1" applyAlignment="1" applyProtection="1">
      <alignment horizontal="center" vertical="center"/>
      <protection locked="0"/>
    </xf>
    <xf numFmtId="0" fontId="0" fillId="8" borderId="175" xfId="0" applyFill="1" applyBorder="1" applyAlignment="1" applyProtection="1">
      <alignment horizontal="center" vertical="center"/>
      <protection locked="0"/>
    </xf>
    <xf numFmtId="0" fontId="0" fillId="0" borderId="176" xfId="0" applyBorder="1" applyAlignment="1" applyProtection="1">
      <alignment horizontal="center" vertical="center"/>
      <protection locked="0"/>
    </xf>
    <xf numFmtId="0" fontId="0" fillId="8" borderId="178" xfId="0" applyFill="1" applyBorder="1" applyAlignment="1" applyProtection="1">
      <alignment horizontal="center" vertical="center"/>
      <protection locked="0"/>
    </xf>
    <xf numFmtId="0" fontId="0" fillId="8" borderId="128" xfId="0" applyFill="1" applyBorder="1" applyAlignment="1" applyProtection="1">
      <alignment horizontal="center" vertical="center"/>
      <protection locked="0"/>
    </xf>
    <xf numFmtId="0" fontId="0" fillId="0" borderId="174" xfId="0" applyBorder="1" applyAlignment="1" applyProtection="1">
      <alignment horizontal="center" vertical="center"/>
      <protection locked="0"/>
    </xf>
    <xf numFmtId="0" fontId="0" fillId="0" borderId="183" xfId="0" applyBorder="1" applyAlignment="1" applyProtection="1">
      <alignment horizontal="center" vertical="center"/>
      <protection locked="0"/>
    </xf>
    <xf numFmtId="0" fontId="0" fillId="0" borderId="184" xfId="0" applyBorder="1" applyAlignment="1" applyProtection="1">
      <alignment horizontal="center" vertical="center"/>
      <protection locked="0"/>
    </xf>
    <xf numFmtId="0" fontId="0" fillId="0" borderId="179" xfId="0" applyBorder="1" applyAlignment="1" applyProtection="1">
      <alignment horizontal="center" vertical="center"/>
      <protection locked="0"/>
    </xf>
    <xf numFmtId="0" fontId="4" fillId="7" borderId="0" xfId="0" applyFont="1" applyFill="1" applyAlignment="1" applyProtection="1">
      <alignment horizontal="left" vertical="center" wrapText="1"/>
    </xf>
    <xf numFmtId="0" fontId="0" fillId="7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7" borderId="0" xfId="0" applyFont="1" applyFill="1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22" xfId="0" applyBorder="1" applyAlignment="1" applyProtection="1">
      <alignment wrapText="1"/>
      <protection locked="0"/>
    </xf>
    <xf numFmtId="0" fontId="0" fillId="0" borderId="9" xfId="0" applyBorder="1" applyAlignment="1">
      <alignment horizontal="center" wrapText="1"/>
    </xf>
    <xf numFmtId="0" fontId="0" fillId="8" borderId="177" xfId="0" applyFill="1" applyBorder="1" applyAlignment="1" applyProtection="1">
      <alignment horizontal="center" vertical="center"/>
      <protection locked="0"/>
    </xf>
    <xf numFmtId="0" fontId="0" fillId="0" borderId="180" xfId="0" applyBorder="1" applyAlignment="1" applyProtection="1">
      <alignment horizontal="center" vertical="center"/>
      <protection locked="0"/>
    </xf>
    <xf numFmtId="0" fontId="4" fillId="0" borderId="139" xfId="0" applyFont="1" applyBorder="1" applyAlignment="1" applyProtection="1">
      <alignment horizontal="center" vertical="center" textRotation="90"/>
    </xf>
    <xf numFmtId="0" fontId="4" fillId="0" borderId="140" xfId="0" applyFont="1" applyBorder="1" applyAlignment="1" applyProtection="1">
      <alignment horizontal="center" vertical="center" textRotation="90"/>
    </xf>
    <xf numFmtId="0" fontId="4" fillId="0" borderId="141" xfId="0" applyFont="1" applyBorder="1" applyAlignment="1" applyProtection="1">
      <alignment horizontal="center" vertical="center" textRotation="90"/>
    </xf>
    <xf numFmtId="0" fontId="4" fillId="0" borderId="142" xfId="0" applyFont="1" applyBorder="1" applyAlignment="1" applyProtection="1">
      <alignment horizontal="center" vertical="center" textRotation="90"/>
    </xf>
    <xf numFmtId="0" fontId="4" fillId="0" borderId="0" xfId="0" applyFont="1" applyBorder="1" applyAlignment="1" applyProtection="1">
      <alignment horizontal="center" vertical="center" textRotation="90"/>
    </xf>
    <xf numFmtId="0" fontId="4" fillId="0" borderId="143" xfId="0" applyFont="1" applyBorder="1" applyAlignment="1" applyProtection="1">
      <alignment horizontal="center" vertical="center" textRotation="90"/>
    </xf>
    <xf numFmtId="0" fontId="4" fillId="0" borderId="144" xfId="0" applyFont="1" applyBorder="1" applyAlignment="1" applyProtection="1">
      <alignment horizontal="center" vertical="center" textRotation="90"/>
    </xf>
    <xf numFmtId="0" fontId="4" fillId="0" borderId="145" xfId="0" applyFont="1" applyBorder="1" applyAlignment="1" applyProtection="1">
      <alignment horizontal="center" vertical="center" textRotation="90"/>
    </xf>
    <xf numFmtId="0" fontId="4" fillId="0" borderId="132" xfId="0" applyFont="1" applyBorder="1" applyAlignment="1" applyProtection="1">
      <alignment horizontal="center" vertical="center" textRotation="90"/>
    </xf>
    <xf numFmtId="14" fontId="2" fillId="0" borderId="145" xfId="0" applyNumberFormat="1" applyFont="1" applyBorder="1" applyAlignment="1" applyProtection="1">
      <alignment horizontal="center" vertical="center"/>
    </xf>
    <xf numFmtId="0" fontId="4" fillId="0" borderId="128" xfId="0" applyFont="1" applyBorder="1" applyAlignment="1" applyProtection="1">
      <alignment horizontal="center" vertical="center" textRotation="90"/>
    </xf>
    <xf numFmtId="0" fontId="4" fillId="0" borderId="159" xfId="0" applyFont="1" applyBorder="1" applyAlignment="1" applyProtection="1">
      <alignment horizontal="center" vertical="center" textRotation="90"/>
    </xf>
    <xf numFmtId="0" fontId="4" fillId="0" borderId="174" xfId="0" applyFont="1" applyBorder="1" applyAlignment="1" applyProtection="1">
      <alignment horizontal="center" vertical="center" textRotation="90"/>
    </xf>
    <xf numFmtId="0" fontId="0" fillId="0" borderId="0" xfId="0" applyAlignment="1" applyProtection="1">
      <alignment horizontal="center" wrapText="1"/>
    </xf>
    <xf numFmtId="0" fontId="29" fillId="0" borderId="0" xfId="0" applyFont="1" applyAlignment="1" applyProtection="1">
      <alignment horizontal="center" wrapText="1"/>
    </xf>
    <xf numFmtId="0" fontId="0" fillId="8" borderId="0" xfId="0" applyFill="1" applyAlignment="1">
      <alignment horizontal="left"/>
    </xf>
    <xf numFmtId="0" fontId="1" fillId="0" borderId="150" xfId="0" applyFont="1" applyBorder="1" applyAlignment="1" applyProtection="1">
      <alignment horizontal="center" vertical="center"/>
      <protection locked="0"/>
    </xf>
    <xf numFmtId="0" fontId="77" fillId="0" borderId="0" xfId="0" applyFont="1" applyAlignment="1" applyProtection="1">
      <alignment horizontal="left" vertical="top" wrapText="1"/>
    </xf>
    <xf numFmtId="0" fontId="1" fillId="0" borderId="28" xfId="0" applyFont="1" applyBorder="1" applyAlignment="1" applyProtection="1">
      <alignment horizontal="center" textRotation="90" wrapText="1"/>
    </xf>
    <xf numFmtId="0" fontId="1" fillId="0" borderId="28" xfId="0" applyFont="1" applyBorder="1" applyAlignment="1" applyProtection="1">
      <alignment horizontal="left" textRotation="90" wrapText="1"/>
    </xf>
    <xf numFmtId="0" fontId="9" fillId="0" borderId="28" xfId="0" applyFont="1" applyBorder="1" applyAlignment="1" applyProtection="1">
      <alignment horizontal="center" vertical="top" wrapText="1"/>
    </xf>
    <xf numFmtId="14" fontId="1" fillId="0" borderId="70" xfId="0" applyNumberFormat="1" applyFont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left"/>
    </xf>
    <xf numFmtId="0" fontId="3" fillId="0" borderId="0" xfId="0" applyFont="1" applyAlignment="1" applyProtection="1"/>
    <xf numFmtId="0" fontId="77" fillId="0" borderId="0" xfId="0" applyFont="1" applyBorder="1" applyAlignment="1" applyProtection="1">
      <alignment horizontal="left" vertical="top" wrapText="1"/>
    </xf>
    <xf numFmtId="3" fontId="4" fillId="0" borderId="211" xfId="0" applyNumberFormat="1" applyFont="1" applyFill="1" applyBorder="1" applyAlignment="1" applyProtection="1">
      <alignment horizontal="center" vertical="center"/>
      <protection locked="0"/>
    </xf>
    <xf numFmtId="3" fontId="4" fillId="0" borderId="148" xfId="0" applyNumberFormat="1" applyFont="1" applyFill="1" applyBorder="1" applyAlignment="1" applyProtection="1">
      <alignment horizontal="center" vertical="center"/>
      <protection locked="0"/>
    </xf>
    <xf numFmtId="0" fontId="4" fillId="0" borderId="148" xfId="0" applyFont="1" applyBorder="1" applyAlignment="1" applyProtection="1">
      <alignment horizontal="center"/>
      <protection locked="0"/>
    </xf>
  </cellXfs>
  <cellStyles count="3">
    <cellStyle name="Prozent" xfId="1" builtinId="5"/>
    <cellStyle name="Standard" xfId="0" builtinId="0"/>
    <cellStyle name="Standard_Tabelle1" xfId="2"/>
  </cellStyles>
  <dxfs count="16"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  <fill>
        <patternFill patternType="solid">
          <bgColor indexed="48"/>
        </patternFill>
      </fill>
    </dxf>
    <dxf>
      <font>
        <condense val="0"/>
        <extend val="0"/>
        <color indexed="10"/>
      </font>
      <fill>
        <patternFill patternType="solid">
          <bgColor indexed="44"/>
        </patternFill>
      </fill>
    </dxf>
    <dxf>
      <font>
        <condense val="0"/>
        <extend val="0"/>
        <color indexed="10"/>
      </font>
      <fill>
        <patternFill>
          <bgColor indexed="48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33763904281398"/>
          <c:y val="6.5909090909090903E-2"/>
          <c:w val="0.84542651862132068"/>
          <c:h val="0.82045454545454544"/>
        </c:manualLayout>
      </c:layout>
      <c:scatterChart>
        <c:scatterStyle val="lineMarker"/>
        <c:varyColors val="0"/>
        <c:ser>
          <c:idx val="0"/>
          <c:order val="0"/>
          <c:tx>
            <c:v>Ref. Plate A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99CCFF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Report!$AQ$9:$AQ$23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Report!$AU$9:$AU$23</c:f>
              <c:numCache>
                <c:formatCode>0.00</c:formatCode>
                <c:ptCount val="15"/>
              </c:numCache>
            </c:numRef>
          </c:yVal>
          <c:smooth val="0"/>
        </c:ser>
        <c:ser>
          <c:idx val="1"/>
          <c:order val="1"/>
          <c:tx>
            <c:v>Ref. Plate B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3366FF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Report!$AQ$9:$AQ$23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Report!$AW$9:$AW$23</c:f>
              <c:numCache>
                <c:formatCode>0.00</c:formatCode>
                <c:ptCount val="15"/>
              </c:numCache>
            </c:numRef>
          </c:yVal>
          <c:smooth val="0"/>
        </c:ser>
        <c:ser>
          <c:idx val="2"/>
          <c:order val="2"/>
          <c:tx>
            <c:v>GM Target Plate A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99CC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Report!$BC$9:$BC$23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Report!$AZ$9:$AZ$23</c:f>
              <c:numCache>
                <c:formatCode>0.00</c:formatCode>
                <c:ptCount val="15"/>
              </c:numCache>
            </c:numRef>
          </c:yVal>
          <c:smooth val="0"/>
        </c:ser>
        <c:ser>
          <c:idx val="3"/>
          <c:order val="3"/>
          <c:tx>
            <c:v>GM Target Plate B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3366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Report!$BC$9:$BC$23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Report!$BB$9:$BB$23</c:f>
              <c:numCache>
                <c:formatCode>0.00</c:formatCode>
                <c:ptCount val="1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96152"/>
        <c:axId val="241096544"/>
      </c:scatterChart>
      <c:valAx>
        <c:axId val="241096152"/>
        <c:scaling>
          <c:orientation val="minMax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b="1"/>
                  <a:t>[log hapl. genome copies]</a:t>
                </a:r>
              </a:p>
            </c:rich>
          </c:tx>
          <c:layout>
            <c:manualLayout>
              <c:xMode val="edge"/>
              <c:yMode val="edge"/>
              <c:x val="0.4384861356052891"/>
              <c:y val="0.938636434121883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096544"/>
        <c:crosses val="autoZero"/>
        <c:crossBetween val="midCat"/>
      </c:valAx>
      <c:valAx>
        <c:axId val="241096544"/>
        <c:scaling>
          <c:orientation val="minMax"/>
          <c:max val="45"/>
          <c:min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b="1"/>
                  <a:t>[Cq-values]</a:t>
                </a:r>
              </a:p>
            </c:rich>
          </c:tx>
          <c:layout>
            <c:manualLayout>
              <c:xMode val="edge"/>
              <c:yMode val="edge"/>
              <c:x val="2.365930599369085E-2"/>
              <c:y val="0.4022727246621524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0961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3826503994322692"/>
          <c:y val="4.9999942567354135E-2"/>
          <c:w val="0.30968512804405729"/>
          <c:h val="0.228881503941113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&amp;RVersion vom 06.01.2015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276225</xdr:colOff>
      <xdr:row>13</xdr:row>
      <xdr:rowOff>47625</xdr:rowOff>
    </xdr:from>
    <xdr:ext cx="184731" cy="264560"/>
    <xdr:sp macro="" textlink="">
      <xdr:nvSpPr>
        <xdr:cNvPr id="2" name="Textfeld 1"/>
        <xdr:cNvSpPr txBox="1"/>
      </xdr:nvSpPr>
      <xdr:spPr>
        <a:xfrm>
          <a:off x="9010650" y="101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9</xdr:col>
      <xdr:colOff>647700</xdr:colOff>
      <xdr:row>9</xdr:row>
      <xdr:rowOff>266700</xdr:rowOff>
    </xdr:from>
    <xdr:ext cx="523875" cy="2089002"/>
    <xdr:sp macro="" textlink="">
      <xdr:nvSpPr>
        <xdr:cNvPr id="3" name="Textfeld 2"/>
        <xdr:cNvSpPr txBox="1"/>
      </xdr:nvSpPr>
      <xdr:spPr>
        <a:xfrm>
          <a:off x="8620125" y="1238250"/>
          <a:ext cx="523875" cy="2089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9600" b="0">
              <a:latin typeface="+mn-lt"/>
              <a:cs typeface="Arial" panose="020B0604020202020204" pitchFamily="34" charset="0"/>
            </a:rPr>
            <a:t>}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95249</xdr:rowOff>
    </xdr:from>
    <xdr:to>
      <xdr:col>15</xdr:col>
      <xdr:colOff>693964</xdr:colOff>
      <xdr:row>22</xdr:row>
      <xdr:rowOff>95250</xdr:rowOff>
    </xdr:to>
    <xdr:sp macro="" textlink="">
      <xdr:nvSpPr>
        <xdr:cNvPr id="1046" name="Line 3"/>
        <xdr:cNvSpPr>
          <a:spLocks noChangeShapeType="1"/>
        </xdr:cNvSpPr>
      </xdr:nvSpPr>
      <xdr:spPr bwMode="auto">
        <a:xfrm>
          <a:off x="0" y="4830535"/>
          <a:ext cx="12396107" cy="1"/>
        </a:xfrm>
        <a:prstGeom prst="line">
          <a:avLst/>
        </a:prstGeom>
        <a:noFill/>
        <a:ln w="508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</xdr:row>
      <xdr:rowOff>28014</xdr:rowOff>
    </xdr:from>
    <xdr:to>
      <xdr:col>16</xdr:col>
      <xdr:colOff>0</xdr:colOff>
      <xdr:row>7</xdr:row>
      <xdr:rowOff>28014</xdr:rowOff>
    </xdr:to>
    <xdr:sp macro="" textlink="">
      <xdr:nvSpPr>
        <xdr:cNvPr id="1047" name="Line 3"/>
        <xdr:cNvSpPr>
          <a:spLocks noChangeShapeType="1"/>
        </xdr:cNvSpPr>
      </xdr:nvSpPr>
      <xdr:spPr bwMode="auto">
        <a:xfrm>
          <a:off x="0" y="1608043"/>
          <a:ext cx="13391029" cy="0"/>
        </a:xfrm>
        <a:prstGeom prst="line">
          <a:avLst/>
        </a:prstGeom>
        <a:noFill/>
        <a:ln w="508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28</xdr:row>
      <xdr:rowOff>180975</xdr:rowOff>
    </xdr:from>
    <xdr:to>
      <xdr:col>54</xdr:col>
      <xdr:colOff>85725</xdr:colOff>
      <xdr:row>50</xdr:row>
      <xdr:rowOff>180975</xdr:rowOff>
    </xdr:to>
    <xdr:graphicFrame macro="">
      <xdr:nvGraphicFramePr>
        <xdr:cNvPr id="1048" name="Diagramm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133350</xdr:rowOff>
    </xdr:from>
    <xdr:to>
      <xdr:col>0</xdr:col>
      <xdr:colOff>0</xdr:colOff>
      <xdr:row>26</xdr:row>
      <xdr:rowOff>0</xdr:rowOff>
    </xdr:to>
    <xdr:pic>
      <xdr:nvPicPr>
        <xdr:cNvPr id="206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8200"/>
          <a:ext cx="0" cy="4733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22412</xdr:colOff>
      <xdr:row>5</xdr:row>
      <xdr:rowOff>134470</xdr:rowOff>
    </xdr:from>
    <xdr:to>
      <xdr:col>7</xdr:col>
      <xdr:colOff>378963</xdr:colOff>
      <xdr:row>18</xdr:row>
      <xdr:rowOff>33617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7688" t="26578" r="45062" b="40938"/>
        <a:stretch/>
      </xdr:blipFill>
      <xdr:spPr>
        <a:xfrm>
          <a:off x="22412" y="1008529"/>
          <a:ext cx="5399198" cy="2969559"/>
        </a:xfrm>
        <a:prstGeom prst="rect">
          <a:avLst/>
        </a:prstGeom>
      </xdr:spPr>
    </xdr:pic>
    <xdr:clientData/>
  </xdr:twoCellAnchor>
  <xdr:twoCellAnchor>
    <xdr:from>
      <xdr:col>6</xdr:col>
      <xdr:colOff>380999</xdr:colOff>
      <xdr:row>7</xdr:row>
      <xdr:rowOff>156883</xdr:rowOff>
    </xdr:from>
    <xdr:to>
      <xdr:col>7</xdr:col>
      <xdr:colOff>347381</xdr:colOff>
      <xdr:row>9</xdr:row>
      <xdr:rowOff>123265</xdr:rowOff>
    </xdr:to>
    <xdr:sp macro="" textlink="">
      <xdr:nvSpPr>
        <xdr:cNvPr id="3" name="Textfeld 2"/>
        <xdr:cNvSpPr txBox="1"/>
      </xdr:nvSpPr>
      <xdr:spPr>
        <a:xfrm>
          <a:off x="4975411" y="1512795"/>
          <a:ext cx="414617" cy="347382"/>
        </a:xfrm>
        <a:prstGeom prst="rect">
          <a:avLst/>
        </a:prstGeom>
        <a:solidFill>
          <a:srgbClr val="FFC000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 b="1">
              <a:solidFill>
                <a:schemeClr val="dk1"/>
              </a:solidFill>
              <a:effectLst/>
              <a:latin typeface="Arial Black" panose="020B0A04020102020204" pitchFamily="34" charset="0"/>
              <a:ea typeface="+mn-ea"/>
              <a:cs typeface="Arial" panose="020B0604020202020204" pitchFamily="34" charset="0"/>
            </a:rPr>
            <a:t>EBC</a:t>
          </a:r>
          <a:r>
            <a:rPr lang="de-DE" sz="800" b="1">
              <a:latin typeface="Arial Black" panose="020B0A040201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628650</xdr:colOff>
      <xdr:row>15</xdr:row>
      <xdr:rowOff>171450</xdr:rowOff>
    </xdr:from>
    <xdr:to>
      <xdr:col>21</xdr:col>
      <xdr:colOff>142875</xdr:colOff>
      <xdr:row>17</xdr:row>
      <xdr:rowOff>9525</xdr:rowOff>
    </xdr:to>
    <xdr:sp macro="" textlink="" fLocksText="0">
      <xdr:nvSpPr>
        <xdr:cNvPr id="2" name="Text Box 20"/>
        <xdr:cNvSpPr txBox="1">
          <a:spLocks noChangeArrowheads="1"/>
        </xdr:cNvSpPr>
      </xdr:nvSpPr>
      <xdr:spPr bwMode="auto">
        <a:xfrm>
          <a:off x="12696825" y="3390900"/>
          <a:ext cx="3714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  <xdr:twoCellAnchor>
    <xdr:from>
      <xdr:col>20</xdr:col>
      <xdr:colOff>638175</xdr:colOff>
      <xdr:row>12</xdr:row>
      <xdr:rowOff>66675</xdr:rowOff>
    </xdr:from>
    <xdr:to>
      <xdr:col>21</xdr:col>
      <xdr:colOff>133350</xdr:colOff>
      <xdr:row>12</xdr:row>
      <xdr:rowOff>295275</xdr:rowOff>
    </xdr:to>
    <xdr:sp macro="" textlink="" fLocksText="0">
      <xdr:nvSpPr>
        <xdr:cNvPr id="3" name="Text Box 24"/>
        <xdr:cNvSpPr txBox="1">
          <a:spLocks noChangeArrowheads="1"/>
        </xdr:cNvSpPr>
      </xdr:nvSpPr>
      <xdr:spPr bwMode="auto">
        <a:xfrm>
          <a:off x="12706350" y="2628900"/>
          <a:ext cx="352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638175</xdr:colOff>
      <xdr:row>12</xdr:row>
      <xdr:rowOff>66675</xdr:rowOff>
    </xdr:from>
    <xdr:to>
      <xdr:col>21</xdr:col>
      <xdr:colOff>133350</xdr:colOff>
      <xdr:row>12</xdr:row>
      <xdr:rowOff>295275</xdr:rowOff>
    </xdr:to>
    <xdr:sp macro="" textlink="" fLocksText="0">
      <xdr:nvSpPr>
        <xdr:cNvPr id="4120" name="Text Box 24"/>
        <xdr:cNvSpPr txBox="1">
          <a:spLocks noChangeArrowheads="1"/>
        </xdr:cNvSpPr>
      </xdr:nvSpPr>
      <xdr:spPr bwMode="auto">
        <a:xfrm>
          <a:off x="4095750" y="15621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zoomScaleNormal="100" workbookViewId="0">
      <selection activeCell="A42" sqref="A42"/>
    </sheetView>
  </sheetViews>
  <sheetFormatPr baseColWidth="10" defaultRowHeight="12.75" x14ac:dyDescent="0.2"/>
  <cols>
    <col min="1" max="1" width="32.140625" style="732" customWidth="1"/>
    <col min="2" max="10" width="11.42578125" style="199"/>
    <col min="11" max="11" width="6" style="199" customWidth="1"/>
    <col min="12" max="16384" width="11.42578125" style="199"/>
  </cols>
  <sheetData>
    <row r="1" spans="1:12" ht="15.75" x14ac:dyDescent="0.2">
      <c r="A1" s="778" t="s">
        <v>619</v>
      </c>
      <c r="B1" s="796"/>
      <c r="C1" s="796"/>
      <c r="D1" s="796"/>
      <c r="E1" s="797"/>
      <c r="F1" s="758"/>
      <c r="G1" s="1"/>
      <c r="H1" s="1"/>
      <c r="I1" s="1"/>
      <c r="J1" s="1"/>
      <c r="K1" s="1"/>
      <c r="L1" s="1"/>
    </row>
    <row r="2" spans="1:12" ht="15.75" x14ac:dyDescent="0.2">
      <c r="A2" s="779"/>
      <c r="B2" s="780"/>
      <c r="C2" s="780"/>
      <c r="D2" s="780"/>
      <c r="E2" s="781"/>
      <c r="F2" s="781"/>
      <c r="G2" s="209"/>
      <c r="H2" s="209"/>
      <c r="I2" s="209"/>
      <c r="J2" s="209"/>
      <c r="K2" s="209"/>
      <c r="L2" s="209"/>
    </row>
    <row r="3" spans="1:12" x14ac:dyDescent="0.2">
      <c r="A3" s="770" t="s">
        <v>644</v>
      </c>
      <c r="B3" s="798" t="s">
        <v>655</v>
      </c>
      <c r="C3" s="798"/>
      <c r="D3" s="798"/>
      <c r="E3" s="798"/>
      <c r="F3" s="798"/>
      <c r="G3" s="798"/>
      <c r="H3" s="798"/>
      <c r="I3" s="798"/>
      <c r="J3" s="798"/>
    </row>
    <row r="4" spans="1:12" ht="12.75" customHeight="1" x14ac:dyDescent="0.2">
      <c r="A4" s="775" t="s">
        <v>643</v>
      </c>
      <c r="B4" s="795" t="s">
        <v>656</v>
      </c>
      <c r="C4" s="795"/>
      <c r="D4" s="795"/>
      <c r="E4" s="795"/>
      <c r="F4" s="795"/>
      <c r="G4" s="795"/>
      <c r="H4" s="795"/>
      <c r="I4" s="795"/>
      <c r="J4" s="795"/>
    </row>
    <row r="5" spans="1:12" x14ac:dyDescent="0.2">
      <c r="A5" s="776"/>
      <c r="B5" s="795"/>
      <c r="C5" s="795"/>
      <c r="D5" s="795"/>
      <c r="E5" s="795"/>
      <c r="F5" s="795"/>
      <c r="G5" s="795"/>
      <c r="H5" s="795"/>
      <c r="I5" s="795"/>
      <c r="J5" s="795"/>
    </row>
    <row r="6" spans="1:12" x14ac:dyDescent="0.2">
      <c r="A6" s="776"/>
      <c r="B6" s="795"/>
      <c r="C6" s="795"/>
      <c r="D6" s="795"/>
      <c r="E6" s="795"/>
      <c r="F6" s="795"/>
      <c r="G6" s="795"/>
      <c r="H6" s="795"/>
      <c r="I6" s="795"/>
      <c r="J6" s="795"/>
    </row>
    <row r="7" spans="1:12" ht="21" customHeight="1" x14ac:dyDescent="0.2">
      <c r="A7" s="776"/>
      <c r="B7" s="795"/>
      <c r="C7" s="795"/>
      <c r="D7" s="795"/>
      <c r="E7" s="795"/>
      <c r="F7" s="795"/>
      <c r="G7" s="795"/>
      <c r="H7" s="795"/>
      <c r="I7" s="795"/>
      <c r="J7" s="795"/>
    </row>
    <row r="8" spans="1:12" x14ac:dyDescent="0.2">
      <c r="A8" s="776"/>
      <c r="B8" s="771"/>
      <c r="C8" s="771"/>
      <c r="D8" s="771"/>
      <c r="E8" s="771"/>
      <c r="F8" s="771"/>
      <c r="G8" s="771"/>
      <c r="H8" s="771"/>
      <c r="I8" s="771"/>
      <c r="J8" s="771"/>
    </row>
    <row r="9" spans="1:12" x14ac:dyDescent="0.2">
      <c r="A9" s="776"/>
      <c r="B9" s="771"/>
      <c r="C9" s="771"/>
      <c r="D9" s="771"/>
      <c r="E9" s="771"/>
      <c r="F9" s="771"/>
      <c r="G9" s="771"/>
      <c r="H9" s="771"/>
      <c r="I9" s="771"/>
      <c r="J9" s="771"/>
    </row>
    <row r="10" spans="1:12" ht="30.75" customHeight="1" x14ac:dyDescent="0.2">
      <c r="A10" s="776"/>
      <c r="B10" s="795" t="s">
        <v>661</v>
      </c>
      <c r="C10" s="795"/>
      <c r="D10" s="795"/>
      <c r="E10" s="795"/>
      <c r="F10" s="795"/>
      <c r="G10" s="795"/>
      <c r="H10" s="795"/>
      <c r="I10" s="795"/>
      <c r="J10" s="795"/>
      <c r="L10" s="774" t="s">
        <v>608</v>
      </c>
    </row>
    <row r="11" spans="1:12" x14ac:dyDescent="0.2">
      <c r="A11" s="776"/>
      <c r="D11" s="771"/>
    </row>
    <row r="12" spans="1:12" x14ac:dyDescent="0.2">
      <c r="A12" s="776"/>
      <c r="B12" s="795" t="s">
        <v>657</v>
      </c>
      <c r="C12" s="795"/>
      <c r="D12" s="795"/>
      <c r="E12" s="795"/>
      <c r="F12" s="795"/>
      <c r="G12" s="795"/>
      <c r="H12" s="795"/>
      <c r="I12" s="795"/>
      <c r="J12" s="795"/>
      <c r="K12" s="772"/>
    </row>
    <row r="13" spans="1:12" x14ac:dyDescent="0.2">
      <c r="A13" s="776"/>
      <c r="B13" s="795"/>
      <c r="C13" s="795"/>
      <c r="D13" s="795"/>
      <c r="E13" s="795"/>
      <c r="F13" s="795"/>
      <c r="G13" s="795"/>
      <c r="H13" s="795"/>
      <c r="I13" s="795"/>
      <c r="J13" s="795"/>
    </row>
    <row r="14" spans="1:12" x14ac:dyDescent="0.2">
      <c r="A14" s="776"/>
      <c r="B14" s="795"/>
      <c r="C14" s="795"/>
      <c r="D14" s="795"/>
      <c r="E14" s="795"/>
      <c r="F14" s="795"/>
      <c r="G14" s="795"/>
      <c r="H14" s="795"/>
      <c r="I14" s="795"/>
      <c r="J14" s="795"/>
    </row>
    <row r="15" spans="1:12" x14ac:dyDescent="0.2">
      <c r="A15" s="776"/>
      <c r="B15" s="771"/>
      <c r="C15" s="771"/>
      <c r="D15" s="771"/>
      <c r="E15" s="771"/>
      <c r="F15" s="771"/>
      <c r="G15" s="771"/>
      <c r="H15" s="771"/>
      <c r="I15" s="771"/>
      <c r="J15" s="771"/>
      <c r="L15" s="773" t="s">
        <v>610</v>
      </c>
    </row>
    <row r="16" spans="1:12" ht="58.5" customHeight="1" x14ac:dyDescent="0.2">
      <c r="A16" s="776"/>
      <c r="B16" s="795" t="s">
        <v>658</v>
      </c>
      <c r="C16" s="795"/>
      <c r="D16" s="795"/>
      <c r="E16" s="795"/>
      <c r="F16" s="795"/>
      <c r="G16" s="795"/>
      <c r="H16" s="795"/>
      <c r="I16" s="795"/>
      <c r="J16" s="795"/>
    </row>
    <row r="17" spans="1:12" x14ac:dyDescent="0.2">
      <c r="A17" s="776"/>
    </row>
    <row r="18" spans="1:12" x14ac:dyDescent="0.2">
      <c r="A18" s="776"/>
      <c r="B18" s="766" t="s">
        <v>662</v>
      </c>
      <c r="L18" s="773" t="s">
        <v>609</v>
      </c>
    </row>
    <row r="19" spans="1:12" x14ac:dyDescent="0.2">
      <c r="A19" s="776"/>
    </row>
    <row r="20" spans="1:12" x14ac:dyDescent="0.2">
      <c r="A20" s="776"/>
      <c r="B20" s="795" t="s">
        <v>645</v>
      </c>
      <c r="C20" s="795"/>
      <c r="D20" s="795"/>
      <c r="E20" s="795"/>
      <c r="F20" s="795"/>
      <c r="G20" s="795"/>
      <c r="H20" s="795"/>
      <c r="I20" s="795"/>
      <c r="J20" s="795"/>
    </row>
    <row r="21" spans="1:12" x14ac:dyDescent="0.2">
      <c r="A21" s="776"/>
      <c r="B21" s="795"/>
      <c r="C21" s="795"/>
      <c r="D21" s="795"/>
      <c r="E21" s="795"/>
      <c r="F21" s="795"/>
      <c r="G21" s="795"/>
      <c r="H21" s="795"/>
      <c r="I21" s="795"/>
      <c r="J21" s="795"/>
    </row>
    <row r="22" spans="1:12" x14ac:dyDescent="0.2">
      <c r="A22" s="776"/>
    </row>
    <row r="23" spans="1:12" x14ac:dyDescent="0.2">
      <c r="A23" s="776"/>
      <c r="B23" s="795" t="s">
        <v>671</v>
      </c>
      <c r="C23" s="795"/>
      <c r="D23" s="795"/>
      <c r="E23" s="795"/>
      <c r="F23" s="795"/>
      <c r="G23" s="795"/>
      <c r="H23" s="795"/>
      <c r="I23" s="795"/>
      <c r="J23" s="795"/>
    </row>
    <row r="24" spans="1:12" x14ac:dyDescent="0.2">
      <c r="A24" s="776"/>
      <c r="B24" s="795"/>
      <c r="C24" s="795"/>
      <c r="D24" s="795"/>
      <c r="E24" s="795"/>
      <c r="F24" s="795"/>
      <c r="G24" s="795"/>
      <c r="H24" s="795"/>
      <c r="I24" s="795"/>
      <c r="J24" s="795"/>
    </row>
    <row r="25" spans="1:12" x14ac:dyDescent="0.2">
      <c r="A25" s="776"/>
    </row>
    <row r="26" spans="1:12" x14ac:dyDescent="0.2">
      <c r="A26" s="775" t="s">
        <v>611</v>
      </c>
      <c r="B26" s="766" t="s">
        <v>620</v>
      </c>
    </row>
    <row r="27" spans="1:12" x14ac:dyDescent="0.2">
      <c r="A27" s="776"/>
    </row>
    <row r="28" spans="1:12" x14ac:dyDescent="0.2">
      <c r="A28" s="775" t="s">
        <v>612</v>
      </c>
      <c r="B28" s="766" t="s">
        <v>621</v>
      </c>
    </row>
    <row r="29" spans="1:12" x14ac:dyDescent="0.2">
      <c r="A29" s="776"/>
    </row>
    <row r="30" spans="1:12" x14ac:dyDescent="0.2">
      <c r="A30" s="775" t="s">
        <v>613</v>
      </c>
      <c r="B30" s="766" t="s">
        <v>622</v>
      </c>
    </row>
    <row r="31" spans="1:12" x14ac:dyDescent="0.2">
      <c r="A31" s="776"/>
    </row>
    <row r="32" spans="1:12" x14ac:dyDescent="0.2">
      <c r="A32" s="775" t="s">
        <v>614</v>
      </c>
      <c r="B32" s="766" t="s">
        <v>647</v>
      </c>
    </row>
    <row r="33" spans="1:12" x14ac:dyDescent="0.2">
      <c r="A33" s="776"/>
    </row>
    <row r="34" spans="1:12" x14ac:dyDescent="0.2">
      <c r="A34" s="775" t="s">
        <v>615</v>
      </c>
      <c r="B34" s="766" t="s">
        <v>659</v>
      </c>
    </row>
    <row r="35" spans="1:12" x14ac:dyDescent="0.2">
      <c r="A35" s="776"/>
    </row>
    <row r="36" spans="1:12" ht="31.5" customHeight="1" x14ac:dyDescent="0.2">
      <c r="A36" s="777" t="s">
        <v>616</v>
      </c>
      <c r="B36" s="795" t="s">
        <v>654</v>
      </c>
      <c r="C36" s="795"/>
      <c r="D36" s="795"/>
      <c r="E36" s="795"/>
      <c r="F36" s="795"/>
      <c r="G36" s="795"/>
      <c r="H36" s="795"/>
      <c r="I36" s="795"/>
      <c r="J36" s="795"/>
      <c r="K36" s="795"/>
      <c r="L36" s="795"/>
    </row>
    <row r="37" spans="1:12" x14ac:dyDescent="0.2">
      <c r="A37" s="776"/>
    </row>
    <row r="38" spans="1:12" ht="28.5" customHeight="1" x14ac:dyDescent="0.2">
      <c r="A38" s="777" t="s">
        <v>617</v>
      </c>
      <c r="B38" s="795" t="s">
        <v>653</v>
      </c>
      <c r="C38" s="795"/>
      <c r="D38" s="795"/>
      <c r="E38" s="795"/>
      <c r="F38" s="795"/>
      <c r="G38" s="795"/>
      <c r="H38" s="795"/>
      <c r="I38" s="795"/>
      <c r="J38" s="795"/>
      <c r="K38" s="795"/>
      <c r="L38" s="795"/>
    </row>
    <row r="39" spans="1:12" x14ac:dyDescent="0.2">
      <c r="A39" s="776"/>
    </row>
    <row r="40" spans="1:12" ht="15.75" x14ac:dyDescent="0.2">
      <c r="A40" s="778" t="s">
        <v>618</v>
      </c>
      <c r="B40" s="796"/>
      <c r="C40" s="796"/>
      <c r="D40" s="796"/>
      <c r="E40" s="797"/>
      <c r="F40" s="758"/>
      <c r="G40" s="1"/>
      <c r="H40" s="1"/>
      <c r="I40" s="1"/>
      <c r="J40" s="1"/>
      <c r="K40" s="1"/>
      <c r="L40" s="1"/>
    </row>
    <row r="41" spans="1:12" ht="13.5" thickBot="1" x14ac:dyDescent="0.25">
      <c r="A41" s="124"/>
      <c r="B41" s="61"/>
    </row>
    <row r="42" spans="1:12" ht="13.5" thickBot="1" x14ac:dyDescent="0.25">
      <c r="A42" s="729"/>
      <c r="B42" s="61" t="s">
        <v>0</v>
      </c>
    </row>
    <row r="43" spans="1:12" x14ac:dyDescent="0.2">
      <c r="A43" s="124"/>
      <c r="B43" s="61"/>
    </row>
    <row r="44" spans="1:12" x14ac:dyDescent="0.2">
      <c r="A44" s="730"/>
      <c r="B44" s="61" t="s">
        <v>1</v>
      </c>
    </row>
    <row r="45" spans="1:12" ht="13.5" thickBot="1" x14ac:dyDescent="0.25">
      <c r="A45" s="124"/>
      <c r="B45" s="61"/>
    </row>
    <row r="46" spans="1:12" ht="14.25" thickTop="1" thickBot="1" x14ac:dyDescent="0.25">
      <c r="A46" s="731"/>
      <c r="B46" s="61" t="s">
        <v>2</v>
      </c>
    </row>
    <row r="47" spans="1:12" ht="13.5" thickTop="1" x14ac:dyDescent="0.2">
      <c r="A47" s="124"/>
      <c r="B47" s="61"/>
    </row>
    <row r="48" spans="1:12" x14ac:dyDescent="0.2">
      <c r="B48" s="769" t="s">
        <v>607</v>
      </c>
    </row>
    <row r="50" spans="1:2" x14ac:dyDescent="0.2">
      <c r="A50" s="15" t="s">
        <v>3</v>
      </c>
      <c r="B50" s="94" t="s">
        <v>4</v>
      </c>
    </row>
    <row r="51" spans="1:2" x14ac:dyDescent="0.2">
      <c r="A51" s="124"/>
      <c r="B51" s="61"/>
    </row>
    <row r="52" spans="1:2" x14ac:dyDescent="0.2">
      <c r="A52" s="723" t="s">
        <v>5</v>
      </c>
      <c r="B52" s="94" t="s">
        <v>648</v>
      </c>
    </row>
    <row r="53" spans="1:2" x14ac:dyDescent="0.2">
      <c r="A53" s="723"/>
      <c r="B53" s="61"/>
    </row>
    <row r="54" spans="1:2" x14ac:dyDescent="0.2">
      <c r="A54" s="723" t="s">
        <v>541</v>
      </c>
      <c r="B54" s="61" t="s">
        <v>6</v>
      </c>
    </row>
    <row r="55" spans="1:2" x14ac:dyDescent="0.2">
      <c r="A55" s="723"/>
      <c r="B55" s="61"/>
    </row>
    <row r="56" spans="1:2" x14ac:dyDescent="0.2">
      <c r="A56" s="723" t="s">
        <v>646</v>
      </c>
      <c r="B56" s="61" t="s">
        <v>7</v>
      </c>
    </row>
    <row r="57" spans="1:2" x14ac:dyDescent="0.2">
      <c r="A57" s="723"/>
      <c r="B57" s="61"/>
    </row>
    <row r="58" spans="1:2" x14ac:dyDescent="0.2">
      <c r="A58" s="723" t="s">
        <v>8</v>
      </c>
      <c r="B58" s="61" t="s">
        <v>9</v>
      </c>
    </row>
    <row r="60" spans="1:2" x14ac:dyDescent="0.2">
      <c r="A60" s="752" t="s">
        <v>573</v>
      </c>
      <c r="B60" s="766" t="s">
        <v>649</v>
      </c>
    </row>
    <row r="61" spans="1:2" x14ac:dyDescent="0.2">
      <c r="A61" s="752"/>
    </row>
    <row r="62" spans="1:2" x14ac:dyDescent="0.2">
      <c r="A62" s="752" t="s">
        <v>596</v>
      </c>
      <c r="B62" s="766" t="s">
        <v>650</v>
      </c>
    </row>
    <row r="63" spans="1:2" x14ac:dyDescent="0.2">
      <c r="A63" s="752"/>
    </row>
    <row r="64" spans="1:2" x14ac:dyDescent="0.2">
      <c r="A64" s="752" t="s">
        <v>597</v>
      </c>
      <c r="B64" s="766" t="s">
        <v>651</v>
      </c>
    </row>
    <row r="66" spans="1:2" x14ac:dyDescent="0.2">
      <c r="A66" s="752" t="s">
        <v>574</v>
      </c>
      <c r="B66" s="766" t="s">
        <v>652</v>
      </c>
    </row>
  </sheetData>
  <sheetProtection formatCells="0" formatColumns="0" formatRows="0"/>
  <mergeCells count="11">
    <mergeCell ref="B36:L36"/>
    <mergeCell ref="B20:J21"/>
    <mergeCell ref="B40:E40"/>
    <mergeCell ref="B1:E1"/>
    <mergeCell ref="B38:L38"/>
    <mergeCell ref="B23:J24"/>
    <mergeCell ref="B4:J7"/>
    <mergeCell ref="B12:J14"/>
    <mergeCell ref="B16:J16"/>
    <mergeCell ref="B10:J10"/>
    <mergeCell ref="B3:J3"/>
  </mergeCells>
  <conditionalFormatting sqref="A46">
    <cfRule type="cellIs" dxfId="15" priority="1" stopIfTrue="1" operator="equal">
      <formula>"Wert angeben!"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&amp;L&amp;A&amp;C&amp;U&amp;F&amp;R&amp;D</oddHeader>
    <oddFooter>&amp;LVersion of 19/05/2016</oddFooter>
  </headerFooter>
  <rowBreaks count="1" manualBreakCount="1">
    <brk id="39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zoomScaleNormal="100" zoomScaleSheetLayoutView="130" workbookViewId="0">
      <selection activeCell="A36" sqref="A35:A36"/>
    </sheetView>
  </sheetViews>
  <sheetFormatPr baseColWidth="10" defaultRowHeight="12.75" x14ac:dyDescent="0.2"/>
  <cols>
    <col min="1" max="1" width="15.42578125" style="396" customWidth="1"/>
    <col min="2" max="2" width="15.7109375" style="396" customWidth="1"/>
    <col min="3" max="4" width="11.42578125" style="396"/>
    <col min="5" max="5" width="8" style="396" customWidth="1"/>
    <col min="6" max="16384" width="11.42578125" style="396"/>
  </cols>
  <sheetData>
    <row r="1" spans="1:11" x14ac:dyDescent="0.2">
      <c r="A1" s="395" t="str">
        <f>IF(Report!K5=0," ",Report!K5)</f>
        <v xml:space="preserve"> 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1" x14ac:dyDescent="0.2">
      <c r="B2" s="394"/>
      <c r="C2" s="394"/>
      <c r="D2" s="394"/>
      <c r="E2" s="394"/>
      <c r="F2" s="394"/>
      <c r="G2" s="394"/>
      <c r="H2" s="394"/>
      <c r="I2" s="394"/>
      <c r="J2" s="394"/>
    </row>
    <row r="3" spans="1:11" x14ac:dyDescent="0.2">
      <c r="A3" s="394"/>
      <c r="B3" s="394"/>
      <c r="C3" s="394"/>
      <c r="D3" s="394"/>
      <c r="E3" s="394"/>
      <c r="F3" s="394"/>
      <c r="G3" s="394"/>
      <c r="H3" s="394"/>
      <c r="I3" s="394"/>
      <c r="J3" s="394"/>
    </row>
    <row r="4" spans="1:11" x14ac:dyDescent="0.2">
      <c r="A4" s="394"/>
      <c r="B4" s="394"/>
      <c r="C4" s="394"/>
      <c r="D4" s="394"/>
      <c r="E4" s="394"/>
      <c r="F4" s="394"/>
      <c r="G4" s="394"/>
      <c r="H4" s="394"/>
      <c r="I4" s="392"/>
      <c r="J4" s="392"/>
      <c r="K4" s="393"/>
    </row>
    <row r="5" spans="1:11" x14ac:dyDescent="0.2">
      <c r="A5" s="394"/>
      <c r="B5" s="394"/>
      <c r="C5" s="394"/>
      <c r="D5" s="394"/>
      <c r="E5" s="394"/>
      <c r="F5" s="394"/>
      <c r="G5" s="394"/>
      <c r="H5" s="394"/>
      <c r="I5" s="392"/>
      <c r="J5" s="392"/>
      <c r="K5" s="393"/>
    </row>
    <row r="6" spans="1:11" x14ac:dyDescent="0.2">
      <c r="A6" s="392"/>
      <c r="B6" s="392"/>
      <c r="C6" s="397"/>
      <c r="D6" s="397"/>
      <c r="E6" s="392"/>
      <c r="F6" s="394"/>
      <c r="G6" s="394"/>
      <c r="H6" s="394"/>
      <c r="I6" s="392"/>
      <c r="J6" s="392"/>
      <c r="K6" s="398"/>
    </row>
    <row r="7" spans="1:11" x14ac:dyDescent="0.2">
      <c r="A7" s="392"/>
      <c r="B7" s="392"/>
      <c r="C7" s="397"/>
      <c r="D7" s="397"/>
      <c r="E7" s="392"/>
      <c r="F7" s="394"/>
      <c r="G7" s="394"/>
      <c r="H7" s="394"/>
      <c r="I7" s="392"/>
      <c r="J7" s="392"/>
      <c r="K7" s="398"/>
    </row>
    <row r="8" spans="1:11" x14ac:dyDescent="0.2">
      <c r="A8" s="392"/>
      <c r="B8" s="392"/>
      <c r="C8" s="399"/>
      <c r="D8" s="397"/>
      <c r="E8" s="392"/>
      <c r="F8" s="394"/>
      <c r="G8" s="394"/>
      <c r="H8" s="394"/>
      <c r="I8" s="392"/>
      <c r="J8" s="392"/>
      <c r="K8" s="398"/>
    </row>
    <row r="9" spans="1:11" x14ac:dyDescent="0.2">
      <c r="A9" s="392"/>
      <c r="B9" s="392"/>
      <c r="C9" s="397"/>
      <c r="D9" s="397"/>
      <c r="E9" s="392"/>
      <c r="F9" s="394"/>
      <c r="G9" s="394"/>
      <c r="H9" s="394"/>
      <c r="I9" s="392"/>
      <c r="J9" s="392"/>
      <c r="K9" s="398"/>
    </row>
    <row r="10" spans="1:11" x14ac:dyDescent="0.2">
      <c r="A10" s="392"/>
      <c r="B10" s="394"/>
      <c r="C10" s="394"/>
      <c r="D10" s="400"/>
      <c r="E10" s="394"/>
      <c r="F10" s="394"/>
      <c r="G10" s="394"/>
      <c r="H10" s="394"/>
      <c r="I10" s="392"/>
      <c r="J10" s="394"/>
      <c r="K10" s="398"/>
    </row>
    <row r="11" spans="1:11" x14ac:dyDescent="0.2">
      <c r="A11" s="394"/>
      <c r="B11" s="394"/>
      <c r="C11" s="394"/>
      <c r="D11" s="401"/>
      <c r="E11" s="394"/>
      <c r="F11" s="394"/>
      <c r="G11" s="394"/>
      <c r="H11" s="394"/>
      <c r="I11" s="392"/>
      <c r="J11" s="394"/>
      <c r="K11" s="398"/>
    </row>
    <row r="12" spans="1:11" x14ac:dyDescent="0.2">
      <c r="A12" s="394"/>
      <c r="B12" s="392"/>
      <c r="C12" s="394"/>
      <c r="D12" s="397"/>
      <c r="E12" s="392"/>
      <c r="F12" s="394"/>
      <c r="G12" s="394"/>
      <c r="H12" s="394"/>
      <c r="I12" s="392"/>
      <c r="J12" s="394"/>
      <c r="K12" s="398"/>
    </row>
    <row r="13" spans="1:11" x14ac:dyDescent="0.2">
      <c r="A13" s="394"/>
      <c r="B13" s="394"/>
      <c r="C13" s="394"/>
      <c r="D13" s="394"/>
      <c r="E13" s="394"/>
      <c r="F13" s="394"/>
      <c r="G13" s="394"/>
      <c r="H13" s="394"/>
      <c r="I13" s="394"/>
      <c r="J13" s="394"/>
    </row>
    <row r="14" spans="1:11" x14ac:dyDescent="0.2">
      <c r="A14" s="394"/>
      <c r="B14" s="394"/>
      <c r="C14" s="394"/>
      <c r="D14" s="394"/>
      <c r="E14" s="394"/>
      <c r="F14" s="394"/>
      <c r="G14" s="394"/>
      <c r="H14" s="394"/>
      <c r="I14" s="394"/>
      <c r="J14" s="394"/>
    </row>
    <row r="15" spans="1:11" x14ac:dyDescent="0.2">
      <c r="A15" s="394"/>
      <c r="B15" s="394"/>
      <c r="C15" s="394"/>
      <c r="D15" s="394"/>
      <c r="E15" s="394"/>
      <c r="F15" s="394"/>
      <c r="G15" s="394"/>
      <c r="H15" s="394"/>
      <c r="I15" s="394"/>
      <c r="J15" s="394"/>
    </row>
    <row r="16" spans="1:11" x14ac:dyDescent="0.2">
      <c r="A16" s="394"/>
      <c r="B16" s="394"/>
      <c r="C16" s="394"/>
      <c r="D16" s="394"/>
      <c r="E16" s="394"/>
      <c r="F16" s="394"/>
      <c r="G16" s="394"/>
      <c r="H16" s="394"/>
      <c r="I16" s="394"/>
      <c r="J16" s="394"/>
    </row>
    <row r="17" spans="1:10" x14ac:dyDescent="0.2">
      <c r="A17" s="394"/>
      <c r="B17" s="394"/>
      <c r="C17" s="394"/>
      <c r="D17" s="394"/>
      <c r="E17" s="394"/>
      <c r="F17" s="394"/>
      <c r="G17" s="394"/>
      <c r="H17" s="394"/>
      <c r="I17" s="394"/>
      <c r="J17" s="394"/>
    </row>
    <row r="18" spans="1:10" x14ac:dyDescent="0.2">
      <c r="A18" s="394"/>
      <c r="B18" s="394"/>
      <c r="C18" s="394"/>
      <c r="D18" s="394"/>
      <c r="E18" s="394"/>
      <c r="F18" s="394"/>
      <c r="G18" s="394"/>
      <c r="H18" s="394"/>
      <c r="I18" s="394"/>
      <c r="J18" s="394"/>
    </row>
    <row r="19" spans="1:10" x14ac:dyDescent="0.2">
      <c r="A19" s="394"/>
      <c r="B19" s="394"/>
      <c r="C19" s="394"/>
      <c r="D19" s="394"/>
      <c r="E19" s="394"/>
      <c r="F19" s="394"/>
      <c r="G19" s="394"/>
      <c r="H19" s="394"/>
      <c r="I19" s="394"/>
      <c r="J19" s="394"/>
    </row>
    <row r="20" spans="1:10" x14ac:dyDescent="0.2">
      <c r="A20" s="394"/>
      <c r="B20" s="394"/>
      <c r="C20" s="394"/>
      <c r="D20" s="394"/>
      <c r="E20" s="394"/>
      <c r="F20" s="394"/>
      <c r="G20" s="394"/>
      <c r="H20" s="394"/>
      <c r="I20" s="394"/>
      <c r="J20" s="394"/>
    </row>
    <row r="21" spans="1:10" x14ac:dyDescent="0.2">
      <c r="A21" s="394"/>
      <c r="B21" s="394"/>
      <c r="C21" s="394"/>
      <c r="D21" s="394"/>
      <c r="E21" s="394"/>
      <c r="F21" s="394"/>
      <c r="G21" s="394"/>
      <c r="H21" s="394"/>
      <c r="I21" s="394"/>
      <c r="J21" s="394"/>
    </row>
    <row r="22" spans="1:10" x14ac:dyDescent="0.2">
      <c r="A22" s="392"/>
      <c r="B22" s="392"/>
      <c r="C22" s="392"/>
      <c r="D22" s="394"/>
      <c r="E22" s="394"/>
      <c r="F22" s="394"/>
      <c r="G22" s="394"/>
      <c r="H22" s="394"/>
      <c r="I22" s="394"/>
      <c r="J22" s="394"/>
    </row>
    <row r="23" spans="1:10" x14ac:dyDescent="0.2">
      <c r="A23" s="392"/>
      <c r="B23" s="392"/>
      <c r="C23" s="392"/>
      <c r="D23" s="394"/>
      <c r="E23" s="394"/>
      <c r="F23" s="394"/>
      <c r="G23" s="394"/>
      <c r="H23" s="394"/>
      <c r="I23" s="394"/>
      <c r="J23" s="394"/>
    </row>
    <row r="24" spans="1:10" x14ac:dyDescent="0.2">
      <c r="A24" s="392"/>
      <c r="B24" s="392"/>
      <c r="C24" s="392"/>
      <c r="D24" s="394"/>
      <c r="E24" s="394"/>
      <c r="F24" s="394"/>
      <c r="G24" s="394"/>
      <c r="H24" s="394"/>
      <c r="I24" s="394"/>
      <c r="J24" s="394"/>
    </row>
    <row r="25" spans="1:10" x14ac:dyDescent="0.2">
      <c r="A25" s="392"/>
      <c r="B25" s="392"/>
      <c r="C25" s="392"/>
      <c r="D25" s="394"/>
      <c r="E25" s="394"/>
      <c r="F25" s="394"/>
      <c r="G25" s="394"/>
      <c r="H25" s="394"/>
      <c r="I25" s="394"/>
      <c r="J25" s="394"/>
    </row>
    <row r="26" spans="1:10" x14ac:dyDescent="0.2">
      <c r="A26" s="392"/>
      <c r="B26" s="392"/>
      <c r="C26" s="392"/>
      <c r="D26" s="394"/>
      <c r="E26" s="394"/>
      <c r="F26" s="394"/>
      <c r="G26" s="394"/>
      <c r="H26" s="394"/>
      <c r="I26" s="394"/>
      <c r="J26" s="394"/>
    </row>
    <row r="27" spans="1:10" x14ac:dyDescent="0.2">
      <c r="A27" s="392"/>
      <c r="B27" s="392"/>
      <c r="C27" s="392"/>
      <c r="D27" s="394"/>
      <c r="E27" s="394"/>
      <c r="F27" s="394"/>
      <c r="G27" s="394"/>
      <c r="H27" s="394"/>
      <c r="I27" s="394"/>
      <c r="J27" s="394"/>
    </row>
    <row r="28" spans="1:10" x14ac:dyDescent="0.2">
      <c r="A28" s="394"/>
      <c r="B28" s="394"/>
      <c r="C28" s="394"/>
      <c r="D28" s="394"/>
      <c r="E28" s="394"/>
      <c r="F28" s="394"/>
      <c r="G28" s="394"/>
      <c r="H28" s="394"/>
      <c r="I28" s="394"/>
      <c r="J28" s="394"/>
    </row>
    <row r="29" spans="1:10" x14ac:dyDescent="0.2">
      <c r="A29" s="394"/>
      <c r="B29" s="394"/>
      <c r="C29" s="394"/>
      <c r="D29" s="394"/>
      <c r="E29" s="394"/>
      <c r="F29" s="394"/>
      <c r="G29" s="394"/>
      <c r="H29" s="394"/>
      <c r="I29" s="394"/>
      <c r="J29" s="394"/>
    </row>
    <row r="30" spans="1:10" x14ac:dyDescent="0.2">
      <c r="A30" s="392"/>
      <c r="B30" s="392"/>
      <c r="C30" s="392"/>
      <c r="D30" s="394"/>
      <c r="E30" s="394"/>
      <c r="F30" s="394"/>
      <c r="G30" s="394"/>
      <c r="H30" s="394"/>
      <c r="I30" s="394"/>
      <c r="J30" s="394"/>
    </row>
    <row r="31" spans="1:10" x14ac:dyDescent="0.2">
      <c r="A31" s="392"/>
      <c r="B31" s="392"/>
      <c r="C31" s="392"/>
      <c r="D31" s="394"/>
      <c r="E31" s="394"/>
      <c r="F31" s="394"/>
      <c r="G31" s="394"/>
      <c r="H31" s="394"/>
      <c r="I31" s="394"/>
      <c r="J31" s="394"/>
    </row>
    <row r="32" spans="1:10" x14ac:dyDescent="0.2">
      <c r="A32" s="392"/>
      <c r="B32" s="392"/>
      <c r="C32" s="392"/>
      <c r="D32" s="394"/>
      <c r="E32" s="394"/>
      <c r="F32" s="394"/>
      <c r="G32" s="394"/>
      <c r="H32" s="394"/>
      <c r="I32" s="394"/>
      <c r="J32" s="394"/>
    </row>
    <row r="33" spans="1:10" x14ac:dyDescent="0.2">
      <c r="A33" s="392"/>
      <c r="B33" s="392"/>
      <c r="C33" s="392"/>
      <c r="D33" s="394"/>
      <c r="E33" s="394"/>
      <c r="F33" s="394"/>
      <c r="G33" s="394"/>
      <c r="H33" s="394"/>
      <c r="I33" s="394"/>
      <c r="J33" s="394"/>
    </row>
    <row r="34" spans="1:10" x14ac:dyDescent="0.2">
      <c r="A34" s="392"/>
      <c r="B34" s="392"/>
      <c r="C34" s="392"/>
      <c r="D34" s="394"/>
      <c r="E34" s="394"/>
      <c r="F34" s="394"/>
      <c r="G34" s="394"/>
      <c r="H34" s="394"/>
      <c r="I34" s="394"/>
      <c r="J34" s="394"/>
    </row>
    <row r="35" spans="1:10" x14ac:dyDescent="0.2">
      <c r="A35" s="392"/>
      <c r="B35" s="392"/>
      <c r="C35" s="392"/>
      <c r="D35" s="394"/>
      <c r="E35" s="394"/>
      <c r="F35" s="394" t="s">
        <v>540</v>
      </c>
      <c r="G35" s="394"/>
      <c r="H35" s="394"/>
      <c r="I35" s="394"/>
      <c r="J35" s="394"/>
    </row>
    <row r="36" spans="1:10" x14ac:dyDescent="0.2">
      <c r="A36" s="394"/>
      <c r="B36" s="394"/>
      <c r="C36" s="394"/>
      <c r="D36" s="394"/>
      <c r="E36" s="394"/>
      <c r="F36" s="394"/>
      <c r="G36" s="394"/>
      <c r="H36" s="394"/>
      <c r="I36" s="394"/>
      <c r="J36" s="394"/>
    </row>
    <row r="37" spans="1:10" x14ac:dyDescent="0.2">
      <c r="A37" s="394"/>
      <c r="B37" s="394"/>
      <c r="C37" s="394"/>
      <c r="D37" s="394"/>
      <c r="E37" s="394"/>
      <c r="F37" s="394"/>
      <c r="G37" s="394"/>
      <c r="H37" s="394"/>
      <c r="I37" s="394"/>
      <c r="J37" s="394"/>
    </row>
    <row r="38" spans="1:10" x14ac:dyDescent="0.2">
      <c r="A38" s="394"/>
      <c r="B38" s="394"/>
      <c r="C38" s="394"/>
      <c r="D38" s="394"/>
      <c r="E38" s="394"/>
      <c r="F38" s="394"/>
      <c r="G38" s="394"/>
      <c r="H38" s="394"/>
      <c r="I38" s="394"/>
      <c r="J38" s="394"/>
    </row>
    <row r="39" spans="1:10" x14ac:dyDescent="0.2">
      <c r="A39" s="394"/>
      <c r="B39" s="394"/>
      <c r="C39" s="394"/>
      <c r="D39" s="394"/>
      <c r="E39" s="394"/>
      <c r="F39" s="394"/>
      <c r="G39" s="394"/>
      <c r="H39" s="394"/>
      <c r="I39" s="394"/>
      <c r="J39" s="394"/>
    </row>
    <row r="40" spans="1:10" x14ac:dyDescent="0.2">
      <c r="A40" s="394"/>
      <c r="B40" s="394"/>
      <c r="C40" s="394"/>
      <c r="D40" s="394"/>
      <c r="E40" s="394"/>
      <c r="F40" s="394"/>
      <c r="G40" s="394"/>
      <c r="H40" s="394"/>
      <c r="I40" s="394"/>
      <c r="J40" s="394"/>
    </row>
    <row r="41" spans="1:10" x14ac:dyDescent="0.2">
      <c r="A41" s="394"/>
      <c r="B41" s="394"/>
      <c r="C41" s="394"/>
      <c r="D41" s="394"/>
      <c r="E41" s="394"/>
      <c r="F41" s="394"/>
      <c r="G41" s="394"/>
      <c r="H41" s="394"/>
      <c r="I41" s="394"/>
      <c r="J41" s="394"/>
    </row>
    <row r="42" spans="1:10" x14ac:dyDescent="0.2">
      <c r="A42" s="394"/>
      <c r="B42" s="394"/>
      <c r="C42" s="394"/>
      <c r="D42" s="394"/>
      <c r="E42" s="394"/>
      <c r="F42" s="394"/>
      <c r="G42" s="394"/>
      <c r="H42" s="394"/>
      <c r="I42" s="394"/>
      <c r="J42" s="394"/>
    </row>
    <row r="43" spans="1:10" x14ac:dyDescent="0.2">
      <c r="A43" s="394"/>
      <c r="B43" s="394"/>
      <c r="C43" s="394"/>
      <c r="D43" s="394"/>
      <c r="E43" s="394"/>
      <c r="F43" s="394"/>
      <c r="G43" s="394"/>
      <c r="H43" s="394"/>
      <c r="I43" s="394"/>
      <c r="J43" s="394"/>
    </row>
    <row r="44" spans="1:10" x14ac:dyDescent="0.2">
      <c r="A44" s="394"/>
      <c r="B44" s="394"/>
      <c r="C44" s="394"/>
      <c r="D44" s="394"/>
      <c r="E44" s="394"/>
      <c r="F44" s="394"/>
      <c r="G44" s="394"/>
      <c r="H44" s="394"/>
      <c r="I44" s="394"/>
      <c r="J44" s="394"/>
    </row>
    <row r="45" spans="1:10" x14ac:dyDescent="0.2">
      <c r="A45" s="394"/>
      <c r="B45" s="394"/>
      <c r="C45" s="394"/>
      <c r="D45" s="394"/>
      <c r="E45" s="394"/>
      <c r="F45" s="394"/>
      <c r="G45" s="394"/>
      <c r="H45" s="394"/>
      <c r="I45" s="394"/>
      <c r="J45" s="394"/>
    </row>
    <row r="46" spans="1:10" x14ac:dyDescent="0.2">
      <c r="A46" s="394"/>
      <c r="B46" s="394"/>
      <c r="C46" s="394"/>
      <c r="D46" s="394"/>
      <c r="E46" s="394"/>
      <c r="F46" s="394"/>
      <c r="G46" s="394"/>
      <c r="H46" s="394"/>
      <c r="I46" s="394"/>
      <c r="J46" s="394"/>
    </row>
  </sheetData>
  <sheetProtection formatCells="0" formatColumns="0" formatRows="0"/>
  <phoneticPr fontId="2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&amp;L&amp;A&amp;C&amp;U&amp;F&amp;R&amp;D</oddHeader>
    <oddFooter>&amp;LVersion of 19/05/2016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11"/>
  <sheetViews>
    <sheetView zoomScale="70" zoomScaleNormal="70" zoomScaleSheetLayoutView="85" zoomScalePageLayoutView="70" workbookViewId="0">
      <selection activeCell="C6" sqref="C6:D6"/>
    </sheetView>
  </sheetViews>
  <sheetFormatPr baseColWidth="10" defaultRowHeight="12.75" x14ac:dyDescent="0.2"/>
  <cols>
    <col min="1" max="1" width="10" style="3" customWidth="1"/>
    <col min="2" max="2" width="15.85546875" style="3" customWidth="1"/>
    <col min="3" max="3" width="13.42578125" style="3" customWidth="1"/>
    <col min="4" max="4" width="12" style="3" customWidth="1"/>
    <col min="5" max="5" width="14" style="3" customWidth="1"/>
    <col min="6" max="6" width="24.140625" style="3" customWidth="1"/>
    <col min="7" max="7" width="15.7109375" style="3" customWidth="1"/>
    <col min="8" max="8" width="11.42578125" style="3"/>
    <col min="9" max="9" width="12.28515625" style="3" customWidth="1"/>
    <col min="10" max="10" width="12" style="3" customWidth="1"/>
    <col min="11" max="11" width="13.7109375" style="3" customWidth="1"/>
    <col min="12" max="12" width="10.85546875" style="3" customWidth="1"/>
    <col min="13" max="13" width="11" style="3" customWidth="1"/>
    <col min="14" max="14" width="12.140625" style="3" customWidth="1"/>
    <col min="15" max="15" width="7.85546875" style="3" customWidth="1"/>
    <col min="16" max="16" width="8.5703125" style="3" customWidth="1"/>
    <col min="17" max="17" width="5.42578125" style="3" customWidth="1"/>
    <col min="18" max="18" width="8" style="3" customWidth="1"/>
    <col min="19" max="28" width="7.140625" style="3" customWidth="1"/>
    <col min="29" max="29" width="8.28515625" style="3" customWidth="1"/>
    <col min="30" max="32" width="8.85546875" style="3" customWidth="1"/>
    <col min="33" max="33" width="9" style="3" customWidth="1"/>
    <col min="34" max="34" width="7.5703125" style="3" customWidth="1"/>
    <col min="35" max="35" width="9.28515625" style="3" customWidth="1"/>
    <col min="36" max="36" width="7.42578125" style="3" customWidth="1"/>
    <col min="37" max="37" width="6.5703125" style="3" customWidth="1"/>
    <col min="38" max="38" width="7" style="3" customWidth="1"/>
    <col min="39" max="39" width="5" style="3" customWidth="1"/>
    <col min="40" max="40" width="11.42578125" style="3"/>
    <col min="41" max="41" width="10.42578125" style="3" customWidth="1"/>
    <col min="42" max="42" width="9.5703125" style="3" customWidth="1"/>
    <col min="43" max="43" width="3.42578125" style="3" customWidth="1"/>
    <col min="44" max="44" width="5.85546875" style="3" customWidth="1"/>
    <col min="45" max="45" width="7.7109375" style="3" customWidth="1"/>
    <col min="46" max="46" width="9.85546875" style="3" customWidth="1"/>
    <col min="47" max="47" width="10.7109375" style="3" customWidth="1"/>
    <col min="48" max="48" width="11" style="3" customWidth="1"/>
    <col min="49" max="49" width="9.7109375" style="3" customWidth="1"/>
    <col min="50" max="50" width="7.7109375" style="3" customWidth="1"/>
    <col min="51" max="51" width="10" style="3" customWidth="1"/>
    <col min="52" max="52" width="8.42578125" style="3" customWidth="1"/>
    <col min="53" max="53" width="10" style="3" customWidth="1"/>
    <col min="54" max="54" width="8.28515625" style="3" customWidth="1"/>
    <col min="55" max="55" width="3.28515625" style="3" customWidth="1"/>
    <col min="56" max="56" width="5.7109375" style="3" customWidth="1"/>
    <col min="57" max="59" width="5.28515625" style="3" customWidth="1"/>
    <col min="60" max="60" width="6.140625" style="3" customWidth="1"/>
    <col min="61" max="61" width="7" style="3" customWidth="1"/>
    <col min="62" max="62" width="6.7109375" style="3" customWidth="1"/>
    <col min="63" max="63" width="4.5703125" style="3" customWidth="1"/>
    <col min="64" max="64" width="5.7109375" style="3" customWidth="1"/>
    <col min="65" max="67" width="5.28515625" style="3" customWidth="1"/>
    <col min="68" max="68" width="5.7109375" style="3" customWidth="1"/>
    <col min="69" max="71" width="5.28515625" style="3" customWidth="1"/>
    <col min="72" max="72" width="9.7109375" style="3" customWidth="1"/>
    <col min="73" max="73" width="3.7109375" style="3" customWidth="1"/>
    <col min="74" max="74" width="15.85546875" style="3" customWidth="1"/>
    <col min="75" max="75" width="9.7109375" style="3" customWidth="1"/>
    <col min="76" max="76" width="10.140625" style="3" customWidth="1"/>
    <col min="77" max="77" width="10.85546875" style="3" customWidth="1"/>
    <col min="78" max="78" width="25" style="3" customWidth="1"/>
    <col min="79" max="16384" width="11.42578125" style="3"/>
  </cols>
  <sheetData>
    <row r="1" spans="1:78" ht="15" customHeight="1" thickBot="1" x14ac:dyDescent="0.25">
      <c r="A1" s="805" t="s">
        <v>551</v>
      </c>
      <c r="B1" s="806"/>
      <c r="C1" s="806"/>
      <c r="D1" s="806"/>
      <c r="E1" s="806"/>
      <c r="F1" s="806"/>
      <c r="G1" s="806"/>
      <c r="H1" s="806"/>
      <c r="I1" s="806"/>
      <c r="J1" s="806"/>
      <c r="K1" s="215"/>
      <c r="L1" s="918"/>
      <c r="M1" s="918"/>
      <c r="N1" s="918"/>
      <c r="O1" s="646"/>
      <c r="P1" s="500"/>
      <c r="AH1" s="230"/>
      <c r="AI1" s="230"/>
      <c r="AJ1" s="230"/>
      <c r="AK1" s="230"/>
      <c r="AL1" s="230"/>
      <c r="AM1" s="231"/>
      <c r="AN1" s="232" t="s">
        <v>10</v>
      </c>
      <c r="AO1" s="233"/>
      <c r="AP1" s="233"/>
      <c r="AQ1" s="209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T1" s="1"/>
      <c r="BU1" s="906"/>
      <c r="BV1" s="906"/>
      <c r="BW1" s="6"/>
      <c r="BX1" s="6"/>
      <c r="BY1" s="6"/>
      <c r="BZ1" s="6"/>
    </row>
    <row r="2" spans="1:78" ht="21" customHeight="1" thickBot="1" x14ac:dyDescent="0.3">
      <c r="A2" s="806"/>
      <c r="B2" s="806"/>
      <c r="C2" s="806"/>
      <c r="D2" s="806"/>
      <c r="E2" s="806"/>
      <c r="F2" s="806"/>
      <c r="G2" s="806"/>
      <c r="H2" s="806"/>
      <c r="I2" s="806"/>
      <c r="J2" s="806"/>
      <c r="K2" s="919" t="str">
        <f>J25</f>
        <v/>
      </c>
      <c r="L2" s="920"/>
      <c r="M2" s="919" t="str">
        <f>IF(D51="-","",IF(AND(H37="fulfilled",H36="fulfilled",G42="fulfilled",G43="fulfilled",E47="fulfilled",E48="fulfilled",I42="fulfilled",I43="fulfilled",E51="",E52="",E50=""),"successful","unsuccessful"))</f>
        <v/>
      </c>
      <c r="N2" s="920"/>
      <c r="O2" s="647"/>
      <c r="P2" s="22"/>
      <c r="Q2" s="217"/>
      <c r="R2" s="11" t="s">
        <v>11</v>
      </c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30"/>
      <c r="AI2" s="230"/>
      <c r="AJ2" s="230"/>
      <c r="AK2" s="230"/>
      <c r="AL2" s="230"/>
      <c r="AM2" s="233"/>
      <c r="AN2" s="243" t="s">
        <v>12</v>
      </c>
      <c r="AO2" s="244" t="s">
        <v>13</v>
      </c>
      <c r="AP2" s="233"/>
      <c r="AQ2" s="56"/>
      <c r="AR2" s="1"/>
      <c r="AS2" s="197" t="s">
        <v>14</v>
      </c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1"/>
      <c r="BE2" s="9"/>
      <c r="BF2" s="9" t="s">
        <v>594</v>
      </c>
      <c r="BG2" s="9"/>
      <c r="BH2" s="9"/>
      <c r="BI2" s="10"/>
      <c r="BJ2" s="1"/>
      <c r="BK2" s="1"/>
      <c r="BL2" s="849" t="s">
        <v>629</v>
      </c>
      <c r="BM2" s="850"/>
      <c r="BN2" s="850"/>
      <c r="BO2" s="851" t="str">
        <f>IF(G12&gt;0,G12," ")</f>
        <v xml:space="preserve"> </v>
      </c>
      <c r="BP2" s="851"/>
      <c r="BQ2" s="1"/>
      <c r="BR2" s="1"/>
      <c r="BS2" s="1"/>
      <c r="BT2" s="1"/>
      <c r="BU2" s="907"/>
      <c r="BV2" s="907"/>
      <c r="BW2" s="12"/>
      <c r="BX2" s="6"/>
      <c r="BY2" s="6"/>
      <c r="BZ2" s="6"/>
    </row>
    <row r="3" spans="1:78" ht="15" customHeight="1" x14ac:dyDescent="0.2">
      <c r="M3" s="22"/>
      <c r="AH3" s="230"/>
      <c r="AI3" s="230"/>
      <c r="AJ3" s="230"/>
      <c r="AK3" s="230"/>
      <c r="AL3" s="230"/>
      <c r="AM3" s="233"/>
      <c r="AN3" s="236" t="e">
        <f>LOG(R$9)</f>
        <v>#VALUE!</v>
      </c>
      <c r="AO3" s="236" t="str">
        <f>IF(S9="","",S9)</f>
        <v/>
      </c>
      <c r="AP3" s="234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T3" s="1"/>
      <c r="BU3" s="907"/>
      <c r="BV3" s="907"/>
      <c r="BW3" s="12"/>
      <c r="BX3" s="6"/>
      <c r="BY3" s="6"/>
      <c r="BZ3" s="6"/>
    </row>
    <row r="4" spans="1:78" ht="15" customHeight="1" thickBot="1" x14ac:dyDescent="0.25">
      <c r="G4" s="17"/>
      <c r="H4" s="355"/>
      <c r="I4" s="355"/>
      <c r="J4" s="355"/>
      <c r="K4" s="17"/>
      <c r="L4" s="355"/>
      <c r="M4" s="355"/>
      <c r="N4" s="355"/>
      <c r="O4" s="355"/>
      <c r="P4" s="355"/>
      <c r="Q4" s="932" t="s">
        <v>15</v>
      </c>
      <c r="R4" s="935" t="s">
        <v>663</v>
      </c>
      <c r="S4" s="938" t="s">
        <v>16</v>
      </c>
      <c r="T4" s="939"/>
      <c r="U4" s="939"/>
      <c r="V4" s="939"/>
      <c r="W4" s="939"/>
      <c r="X4" s="939"/>
      <c r="Y4" s="939"/>
      <c r="Z4" s="939"/>
      <c r="AA4" s="939"/>
      <c r="AB4" s="940"/>
      <c r="AC4" s="212"/>
      <c r="AD4" s="947" t="s">
        <v>17</v>
      </c>
      <c r="AE4" s="947"/>
      <c r="AF4" s="947"/>
      <c r="AG4" s="338"/>
      <c r="AH4" s="242"/>
      <c r="AI4" s="235"/>
      <c r="AJ4" s="235"/>
      <c r="AK4" s="891" t="s">
        <v>18</v>
      </c>
      <c r="AL4" s="891" t="s">
        <v>19</v>
      </c>
      <c r="AM4" s="235"/>
      <c r="AN4" s="236" t="e">
        <f>LOG(R$9)</f>
        <v>#VALUE!</v>
      </c>
      <c r="AO4" s="236" t="str">
        <f>IF(T9="","",T9)</f>
        <v/>
      </c>
      <c r="AP4" s="234"/>
      <c r="AQ4" s="2"/>
      <c r="AS4" s="908" t="s">
        <v>627</v>
      </c>
      <c r="AT4" s="909"/>
      <c r="AU4" s="909"/>
      <c r="AV4" s="909"/>
      <c r="AW4" s="910"/>
      <c r="AX4" s="911" t="s">
        <v>628</v>
      </c>
      <c r="AY4" s="912"/>
      <c r="AZ4" s="912"/>
      <c r="BA4" s="912"/>
      <c r="BB4" s="913"/>
      <c r="BC4" s="2"/>
      <c r="BD4" s="208" t="s">
        <v>580</v>
      </c>
      <c r="BE4" s="2"/>
      <c r="BF4" s="2"/>
      <c r="BG4" s="209"/>
      <c r="BH4" s="2" t="str">
        <f>IF(G20="","",G20)</f>
        <v>Sample No.</v>
      </c>
      <c r="BI4" s="848" t="str">
        <f>IF(G21&gt;0,G21," ")</f>
        <v xml:space="preserve"> </v>
      </c>
      <c r="BJ4" s="848"/>
      <c r="BK4" s="13"/>
      <c r="BL4" s="209"/>
      <c r="BM4" s="209"/>
      <c r="BN4" s="209"/>
      <c r="BO4" s="209"/>
      <c r="BP4" s="209"/>
      <c r="BQ4" s="32"/>
      <c r="BR4" s="209"/>
      <c r="BS4" s="209"/>
      <c r="BT4" s="1"/>
      <c r="BU4" s="16"/>
      <c r="BV4" s="16"/>
      <c r="BW4" s="16"/>
      <c r="BX4" s="6"/>
      <c r="BY4" s="6"/>
      <c r="BZ4" s="6"/>
    </row>
    <row r="5" spans="1:78" ht="15" customHeight="1" thickTop="1" thickBot="1" x14ac:dyDescent="0.25">
      <c r="B5" s="473" t="s">
        <v>542</v>
      </c>
      <c r="C5" s="817"/>
      <c r="D5" s="818"/>
      <c r="F5" s="2" t="s">
        <v>545</v>
      </c>
      <c r="G5" s="468"/>
      <c r="H5" s="451"/>
      <c r="J5" s="519" t="s">
        <v>20</v>
      </c>
      <c r="K5" s="807"/>
      <c r="L5" s="808"/>
      <c r="M5" s="809"/>
      <c r="Q5" s="933"/>
      <c r="R5" s="936"/>
      <c r="S5" s="941"/>
      <c r="T5" s="942"/>
      <c r="U5" s="942"/>
      <c r="V5" s="942"/>
      <c r="W5" s="942"/>
      <c r="X5" s="942"/>
      <c r="Y5" s="942"/>
      <c r="Z5" s="942"/>
      <c r="AA5" s="942"/>
      <c r="AB5" s="943"/>
      <c r="AC5" s="213"/>
      <c r="AD5" s="921" t="s">
        <v>21</v>
      </c>
      <c r="AE5" s="925" t="s">
        <v>572</v>
      </c>
      <c r="AF5" s="927" t="s">
        <v>22</v>
      </c>
      <c r="AG5" s="339"/>
      <c r="AH5" s="242"/>
      <c r="AI5" s="235"/>
      <c r="AJ5" s="343"/>
      <c r="AK5" s="892"/>
      <c r="AL5" s="892"/>
      <c r="AM5" s="235"/>
      <c r="AN5" s="236" t="e">
        <f>LOG(R$9)</f>
        <v>#VALUE!</v>
      </c>
      <c r="AO5" s="236" t="str">
        <f>IF(U9="","",U9)</f>
        <v/>
      </c>
      <c r="AP5" s="234"/>
      <c r="AQ5" s="896" t="s">
        <v>23</v>
      </c>
      <c r="AR5" s="948" t="s">
        <v>24</v>
      </c>
      <c r="AS5" s="915" t="s">
        <v>667</v>
      </c>
      <c r="AT5" s="876" t="s">
        <v>25</v>
      </c>
      <c r="AU5" s="876"/>
      <c r="AV5" s="878" t="s">
        <v>26</v>
      </c>
      <c r="AW5" s="914"/>
      <c r="AX5" s="915" t="s">
        <v>667</v>
      </c>
      <c r="AY5" s="852" t="s">
        <v>27</v>
      </c>
      <c r="AZ5" s="917"/>
      <c r="BA5" s="901" t="s">
        <v>28</v>
      </c>
      <c r="BB5" s="902"/>
      <c r="BC5" s="896" t="s">
        <v>29</v>
      </c>
      <c r="BD5" s="852" t="s">
        <v>30</v>
      </c>
      <c r="BE5" s="853"/>
      <c r="BF5" s="853"/>
      <c r="BG5" s="853"/>
      <c r="BH5" s="853"/>
      <c r="BI5" s="853"/>
      <c r="BJ5" s="853"/>
      <c r="BK5" s="853"/>
      <c r="BL5" s="854" t="s">
        <v>31</v>
      </c>
      <c r="BM5" s="855"/>
      <c r="BN5" s="855"/>
      <c r="BO5" s="855"/>
      <c r="BP5" s="855"/>
      <c r="BQ5" s="855"/>
      <c r="BR5" s="855"/>
      <c r="BS5" s="856"/>
      <c r="BT5" s="1"/>
      <c r="BU5" s="16"/>
      <c r="BV5" s="16"/>
      <c r="BW5" s="16"/>
      <c r="BX5" s="6"/>
      <c r="BY5" s="6"/>
      <c r="BZ5" s="5"/>
    </row>
    <row r="6" spans="1:78" ht="25.5" customHeight="1" thickBot="1" x14ac:dyDescent="0.25">
      <c r="A6" s="753"/>
      <c r="B6" s="474" t="s">
        <v>543</v>
      </c>
      <c r="C6" s="1223"/>
      <c r="D6" s="818"/>
      <c r="F6" s="745" t="s">
        <v>32</v>
      </c>
      <c r="G6" s="765"/>
      <c r="J6" s="18" t="s">
        <v>33</v>
      </c>
      <c r="K6" s="822"/>
      <c r="L6" s="823"/>
      <c r="M6" s="823"/>
      <c r="Q6" s="933"/>
      <c r="R6" s="936"/>
      <c r="S6" s="941"/>
      <c r="T6" s="942"/>
      <c r="U6" s="942"/>
      <c r="V6" s="942"/>
      <c r="W6" s="942"/>
      <c r="X6" s="942"/>
      <c r="Y6" s="942"/>
      <c r="Z6" s="942"/>
      <c r="AA6" s="942"/>
      <c r="AB6" s="943"/>
      <c r="AC6" s="213"/>
      <c r="AD6" s="922"/>
      <c r="AE6" s="926"/>
      <c r="AF6" s="926"/>
      <c r="AG6" s="340"/>
      <c r="AH6" s="928" t="s">
        <v>34</v>
      </c>
      <c r="AI6" s="930" t="s">
        <v>35</v>
      </c>
      <c r="AJ6" s="931" t="s">
        <v>36</v>
      </c>
      <c r="AK6" s="892"/>
      <c r="AL6" s="892"/>
      <c r="AM6" s="235"/>
      <c r="AN6" s="236">
        <f>LOG(R$10)</f>
        <v>2.6989700043360187</v>
      </c>
      <c r="AO6" s="236" t="str">
        <f>IF(S10="","",S10)</f>
        <v/>
      </c>
      <c r="AP6" s="234"/>
      <c r="AQ6" s="896"/>
      <c r="AR6" s="949"/>
      <c r="AS6" s="915"/>
      <c r="AT6" s="1220" t="s">
        <v>668</v>
      </c>
      <c r="AU6" s="954" t="s">
        <v>37</v>
      </c>
      <c r="AV6" s="1221" t="s">
        <v>668</v>
      </c>
      <c r="AW6" s="957" t="s">
        <v>589</v>
      </c>
      <c r="AX6" s="916"/>
      <c r="AY6" s="1220" t="s">
        <v>668</v>
      </c>
      <c r="AZ6" s="893" t="s">
        <v>589</v>
      </c>
      <c r="BA6" s="1220" t="s">
        <v>668</v>
      </c>
      <c r="BB6" s="898" t="s">
        <v>589</v>
      </c>
      <c r="BC6" s="896"/>
      <c r="BD6" s="841" t="s">
        <v>555</v>
      </c>
      <c r="BE6" s="842"/>
      <c r="BF6" s="843">
        <f>$K$6</f>
        <v>0</v>
      </c>
      <c r="BG6" s="844"/>
      <c r="BH6" s="960" t="s">
        <v>582</v>
      </c>
      <c r="BI6" s="961"/>
      <c r="BJ6" s="836">
        <f>$K$7</f>
        <v>0</v>
      </c>
      <c r="BK6" s="836"/>
      <c r="BL6" s="847" t="s">
        <v>38</v>
      </c>
      <c r="BM6" s="842"/>
      <c r="BN6" s="843">
        <f>$K$6</f>
        <v>0</v>
      </c>
      <c r="BO6" s="844"/>
      <c r="BP6" s="845" t="s">
        <v>583</v>
      </c>
      <c r="BQ6" s="846"/>
      <c r="BR6" s="836">
        <f>$K$7</f>
        <v>0</v>
      </c>
      <c r="BS6" s="837"/>
      <c r="BT6" s="1"/>
      <c r="BU6" s="16"/>
      <c r="BV6" s="16"/>
      <c r="BW6" s="16"/>
      <c r="BX6" s="6"/>
      <c r="BY6" s="6"/>
      <c r="BZ6" s="19"/>
    </row>
    <row r="7" spans="1:78" ht="18" customHeight="1" thickTop="1" thickBot="1" x14ac:dyDescent="0.25">
      <c r="A7" s="799" t="s">
        <v>544</v>
      </c>
      <c r="B7" s="800"/>
      <c r="C7" s="968"/>
      <c r="D7" s="818"/>
      <c r="J7" s="18" t="s">
        <v>39</v>
      </c>
      <c r="K7" s="824"/>
      <c r="L7" s="808"/>
      <c r="M7" s="809"/>
      <c r="Q7" s="933"/>
      <c r="R7" s="936"/>
      <c r="S7" s="941"/>
      <c r="T7" s="942"/>
      <c r="U7" s="942"/>
      <c r="V7" s="942"/>
      <c r="W7" s="942"/>
      <c r="X7" s="942"/>
      <c r="Y7" s="942"/>
      <c r="Z7" s="942"/>
      <c r="AA7" s="942"/>
      <c r="AB7" s="943"/>
      <c r="AC7" s="213"/>
      <c r="AD7" s="922"/>
      <c r="AE7" s="926"/>
      <c r="AF7" s="926"/>
      <c r="AG7" s="340"/>
      <c r="AH7" s="929"/>
      <c r="AI7" s="929"/>
      <c r="AJ7" s="929"/>
      <c r="AK7" s="892"/>
      <c r="AL7" s="892"/>
      <c r="AM7" s="237"/>
      <c r="AN7" s="236">
        <f>LOG(R$10)</f>
        <v>2.6989700043360187</v>
      </c>
      <c r="AO7" s="236" t="str">
        <f>IF(T10="","",T10)</f>
        <v/>
      </c>
      <c r="AP7" s="234"/>
      <c r="AQ7" s="896"/>
      <c r="AR7" s="949"/>
      <c r="AS7" s="1220"/>
      <c r="AT7" s="904"/>
      <c r="AU7" s="894"/>
      <c r="AV7" s="955"/>
      <c r="AW7" s="958"/>
      <c r="AX7" s="903"/>
      <c r="AY7" s="904"/>
      <c r="AZ7" s="894"/>
      <c r="BA7" s="904"/>
      <c r="BB7" s="899"/>
      <c r="BC7" s="896"/>
      <c r="BD7" s="756" t="s">
        <v>584</v>
      </c>
      <c r="BE7" s="838" t="s">
        <v>630</v>
      </c>
      <c r="BF7" s="839"/>
      <c r="BG7" s="840"/>
      <c r="BH7" s="756" t="s">
        <v>584</v>
      </c>
      <c r="BI7" s="838" t="s">
        <v>630</v>
      </c>
      <c r="BJ7" s="839"/>
      <c r="BK7" s="840"/>
      <c r="BL7" s="757" t="s">
        <v>584</v>
      </c>
      <c r="BM7" s="838" t="s">
        <v>630</v>
      </c>
      <c r="BN7" s="839"/>
      <c r="BO7" s="840"/>
      <c r="BP7" s="756" t="s">
        <v>584</v>
      </c>
      <c r="BQ7" s="838" t="s">
        <v>630</v>
      </c>
      <c r="BR7" s="839"/>
      <c r="BS7" s="840"/>
      <c r="BT7" s="1"/>
      <c r="BU7" s="4"/>
      <c r="BV7" s="16"/>
      <c r="BW7" s="16"/>
      <c r="BX7" s="6"/>
      <c r="BY7" s="6"/>
      <c r="BZ7" s="19"/>
    </row>
    <row r="8" spans="1:78" ht="22.5" customHeight="1" thickTop="1" thickBot="1" x14ac:dyDescent="0.25">
      <c r="Q8" s="934"/>
      <c r="R8" s="937"/>
      <c r="S8" s="944"/>
      <c r="T8" s="945"/>
      <c r="U8" s="945"/>
      <c r="V8" s="945"/>
      <c r="W8" s="945"/>
      <c r="X8" s="945"/>
      <c r="Y8" s="945"/>
      <c r="Z8" s="945"/>
      <c r="AA8" s="945"/>
      <c r="AB8" s="946"/>
      <c r="AC8" s="213"/>
      <c r="AD8" s="922"/>
      <c r="AE8" s="926"/>
      <c r="AF8" s="926"/>
      <c r="AG8" s="340"/>
      <c r="AH8" s="929"/>
      <c r="AI8" s="929"/>
      <c r="AJ8" s="929"/>
      <c r="AK8" s="892"/>
      <c r="AL8" s="892"/>
      <c r="AM8" s="230"/>
      <c r="AN8" s="236">
        <f>LOG(R$10)</f>
        <v>2.6989700043360187</v>
      </c>
      <c r="AO8" s="236" t="str">
        <f>IF(U10="","",U10)</f>
        <v/>
      </c>
      <c r="AP8" s="234"/>
      <c r="AQ8" s="896"/>
      <c r="AR8" s="950"/>
      <c r="AS8" s="1220"/>
      <c r="AT8" s="905"/>
      <c r="AU8" s="895" t="s">
        <v>40</v>
      </c>
      <c r="AV8" s="956"/>
      <c r="AW8" s="959" t="s">
        <v>41</v>
      </c>
      <c r="AX8" s="903"/>
      <c r="AY8" s="905"/>
      <c r="AZ8" s="895" t="s">
        <v>42</v>
      </c>
      <c r="BA8" s="905"/>
      <c r="BB8" s="900" t="s">
        <v>43</v>
      </c>
      <c r="BC8" s="897"/>
      <c r="BD8" s="448"/>
      <c r="BE8" s="833" t="e">
        <f>IF(AU$26=" "," ",IF(BD8=0," ",10^((BD8-$AU$27)/$AU$26)))</f>
        <v>#VALUE!</v>
      </c>
      <c r="BF8" s="834"/>
      <c r="BG8" s="857"/>
      <c r="BH8" s="448"/>
      <c r="BI8" s="833" t="e">
        <f>IF(AZ$26=" "," ",IF(BH8=0," ",10^((BH8-$AZ$27)/$AZ$26)))</f>
        <v>#VALUE!</v>
      </c>
      <c r="BJ8" s="834"/>
      <c r="BK8" s="857"/>
      <c r="BL8" s="448"/>
      <c r="BM8" s="833" t="e">
        <f>IF(AW$26=" "," ",IF(BL8=0," ",10^((BL8-$AW$27)/$AW$26)))</f>
        <v>#VALUE!</v>
      </c>
      <c r="BN8" s="834"/>
      <c r="BO8" s="857"/>
      <c r="BP8" s="448"/>
      <c r="BQ8" s="833" t="e">
        <f>IF(BB$26=" "," ",IF(BP8=0," ",10^((BP8-$BB$27)/$BB$26)))</f>
        <v>#VALUE!</v>
      </c>
      <c r="BR8" s="834"/>
      <c r="BS8" s="835"/>
      <c r="BT8" s="1"/>
      <c r="BU8" s="21"/>
      <c r="BV8" s="16"/>
      <c r="BW8" s="16"/>
      <c r="BX8" s="6"/>
      <c r="BY8" s="6"/>
      <c r="BZ8" s="19"/>
    </row>
    <row r="9" spans="1:78" ht="14.25" customHeight="1" thickBot="1" x14ac:dyDescent="0.25">
      <c r="C9" s="285"/>
      <c r="D9" s="286" t="s">
        <v>546</v>
      </c>
      <c r="E9" s="417"/>
      <c r="F9" s="310"/>
      <c r="G9" s="1002" t="s">
        <v>590</v>
      </c>
      <c r="H9" s="974"/>
      <c r="I9" s="1002" t="s">
        <v>591</v>
      </c>
      <c r="J9" s="974"/>
      <c r="K9" s="1002" t="s">
        <v>592</v>
      </c>
      <c r="L9" s="974"/>
      <c r="M9" s="1002" t="s">
        <v>593</v>
      </c>
      <c r="N9" s="975"/>
      <c r="O9" s="662"/>
      <c r="P9" s="663"/>
      <c r="Q9" s="533" t="s">
        <v>44</v>
      </c>
      <c r="R9" s="550" t="str">
        <f>'Dilution series A'!C22</f>
        <v/>
      </c>
      <c r="S9" s="446"/>
      <c r="T9" s="446"/>
      <c r="U9" s="446"/>
      <c r="V9" s="23"/>
      <c r="W9" s="23"/>
      <c r="X9" s="23"/>
      <c r="Y9" s="23"/>
      <c r="Z9" s="23"/>
      <c r="AA9" s="23"/>
      <c r="AB9" s="23"/>
      <c r="AC9" s="214" t="str">
        <f t="shared" ref="AC9:AC17" si="0">R9</f>
        <v/>
      </c>
      <c r="AD9" s="923"/>
      <c r="AE9" s="926"/>
      <c r="AF9" s="926"/>
      <c r="AG9" s="340"/>
      <c r="AH9" s="929"/>
      <c r="AI9" s="929"/>
      <c r="AJ9" s="929"/>
      <c r="AK9" s="892"/>
      <c r="AL9" s="892"/>
      <c r="AM9" s="230"/>
      <c r="AN9" s="236">
        <f>LOG(R$11)</f>
        <v>2</v>
      </c>
      <c r="AO9" s="236" t="str">
        <f>IF(S11="","",S11)</f>
        <v/>
      </c>
      <c r="AP9" s="234"/>
      <c r="AQ9" s="222" t="e">
        <f>LOG(AS9)</f>
        <v>#VALUE!</v>
      </c>
      <c r="AR9" s="951" t="s">
        <v>579</v>
      </c>
      <c r="AS9" s="218" t="str">
        <f>IF(C$12=0,"",C14)</f>
        <v/>
      </c>
      <c r="AT9" s="433" t="e">
        <f>10^((AU9-$AU$27)/$AU$26)</f>
        <v>#VALUE!</v>
      </c>
      <c r="AU9" s="462"/>
      <c r="AV9" s="436" t="e">
        <f t="shared" ref="AV9:AV23" si="1">10^((AW9-$AW$27)/$AW$26)</f>
        <v>#VALUE!</v>
      </c>
      <c r="AW9" s="464"/>
      <c r="AX9" s="130" t="e">
        <f t="shared" ref="AX9:AX14" si="2">AS9*C$12</f>
        <v>#VALUE!</v>
      </c>
      <c r="AY9" s="441" t="e">
        <f>10^((AZ9-$AZ$27)/$AZ$26)</f>
        <v>#VALUE!</v>
      </c>
      <c r="AZ9" s="462"/>
      <c r="BA9" s="436" t="e">
        <f>10^((BB9-$BB$27)/$BB$26)</f>
        <v>#VALUE!</v>
      </c>
      <c r="BB9" s="462"/>
      <c r="BC9" s="14" t="e">
        <f>LOG(AX9)</f>
        <v>#VALUE!</v>
      </c>
      <c r="BD9" s="448"/>
      <c r="BE9" s="833" t="e">
        <f>IF(AU$26=" "," ",IF(BD9=0," ",10^((BD9-$AU$27)/$AU$26)))</f>
        <v>#VALUE!</v>
      </c>
      <c r="BF9" s="834"/>
      <c r="BG9" s="857"/>
      <c r="BH9" s="448"/>
      <c r="BI9" s="833" t="e">
        <f>IF(AZ$26=" "," ",IF(BH9=0," ",10^((BH9-$AZ$27)/$AZ$26)))</f>
        <v>#VALUE!</v>
      </c>
      <c r="BJ9" s="834"/>
      <c r="BK9" s="857"/>
      <c r="BL9" s="448"/>
      <c r="BM9" s="833" t="e">
        <f>IF(AW$26=" "," ",IF(BL9=0," ",10^((BL9-$AW$27)/$AW$26)))</f>
        <v>#VALUE!</v>
      </c>
      <c r="BN9" s="834"/>
      <c r="BO9" s="857"/>
      <c r="BP9" s="448"/>
      <c r="BQ9" s="833" t="e">
        <f>IF(BB$26=" "," ",IF(BP9=0," ",10^((BP9-$BB$27)/$BB$26)))</f>
        <v>#VALUE!</v>
      </c>
      <c r="BR9" s="834"/>
      <c r="BS9" s="835"/>
      <c r="BT9" s="1"/>
      <c r="BU9" s="24"/>
      <c r="BV9" s="6"/>
      <c r="BW9" s="6"/>
      <c r="BX9" s="6"/>
      <c r="BY9" s="6"/>
      <c r="BZ9" s="19"/>
    </row>
    <row r="10" spans="1:78" ht="15" customHeight="1" thickTop="1" thickBot="1" x14ac:dyDescent="0.25">
      <c r="B10" s="475" t="s">
        <v>45</v>
      </c>
      <c r="C10" s="825"/>
      <c r="D10" s="826"/>
      <c r="E10" s="826"/>
      <c r="F10" s="477" t="s">
        <v>46</v>
      </c>
      <c r="G10" s="1001"/>
      <c r="H10" s="1000"/>
      <c r="I10" s="1001"/>
      <c r="J10" s="1004"/>
      <c r="K10" s="999"/>
      <c r="L10" s="1000"/>
      <c r="M10" s="1001"/>
      <c r="N10" s="1000"/>
      <c r="O10" s="648"/>
      <c r="P10" s="509"/>
      <c r="Q10" s="533" t="s">
        <v>47</v>
      </c>
      <c r="R10" s="550">
        <f>'Dilution series A'!C23</f>
        <v>500</v>
      </c>
      <c r="S10" s="449"/>
      <c r="T10" s="449"/>
      <c r="U10" s="449"/>
      <c r="V10" s="23"/>
      <c r="W10" s="23"/>
      <c r="X10" s="23"/>
      <c r="Y10" s="23"/>
      <c r="Z10" s="23"/>
      <c r="AA10" s="23"/>
      <c r="AB10" s="23"/>
      <c r="AC10" s="214">
        <f t="shared" si="0"/>
        <v>500</v>
      </c>
      <c r="AD10" s="923"/>
      <c r="AE10" s="926"/>
      <c r="AF10" s="926"/>
      <c r="AG10" s="340"/>
      <c r="AH10" s="230"/>
      <c r="AI10" s="230"/>
      <c r="AJ10" s="230"/>
      <c r="AK10" s="230"/>
      <c r="AL10" s="230"/>
      <c r="AM10" s="238"/>
      <c r="AN10" s="236">
        <f>LOG(R$11)</f>
        <v>2</v>
      </c>
      <c r="AO10" s="236" t="str">
        <f>IF(T11="","",T11)</f>
        <v/>
      </c>
      <c r="AP10" s="234"/>
      <c r="AQ10" s="222" t="e">
        <f t="shared" ref="AQ10:AQ23" si="3">LOG(AS10)</f>
        <v>#VALUE!</v>
      </c>
      <c r="AR10" s="952"/>
      <c r="AS10" s="219" t="str">
        <f>IF(C$12=0,"",AS9)</f>
        <v/>
      </c>
      <c r="AT10" s="434" t="e">
        <f t="shared" ref="AT10:AT23" si="4">10^((AU10-$AU$27)/$AU$26)</f>
        <v>#VALUE!</v>
      </c>
      <c r="AU10" s="447"/>
      <c r="AV10" s="437" t="e">
        <f t="shared" si="1"/>
        <v>#VALUE!</v>
      </c>
      <c r="AW10" s="465"/>
      <c r="AX10" s="131" t="e">
        <f t="shared" si="2"/>
        <v>#VALUE!</v>
      </c>
      <c r="AY10" s="442" t="e">
        <f t="shared" ref="AY10:AY23" si="5">10^((AZ10-$AZ$27)/$AZ$26)</f>
        <v>#VALUE!</v>
      </c>
      <c r="AZ10" s="447"/>
      <c r="BA10" s="437" t="e">
        <f t="shared" ref="BA10:BA23" si="6">10^((BB10-$BB$27)/$BB$26)</f>
        <v>#VALUE!</v>
      </c>
      <c r="BB10" s="447"/>
      <c r="BC10" s="14" t="e">
        <f t="shared" ref="BC10:BC23" si="7">LOG(AX10)</f>
        <v>#VALUE!</v>
      </c>
      <c r="BD10" s="448"/>
      <c r="BE10" s="833" t="e">
        <f>IF(AU$26=" "," ",IF(BD10=0," ",10^((BD10-$AU$27)/$AU$26)))</f>
        <v>#VALUE!</v>
      </c>
      <c r="BF10" s="834"/>
      <c r="BG10" s="857"/>
      <c r="BH10" s="448"/>
      <c r="BI10" s="833" t="e">
        <f>IF(AZ$26=" "," ",IF(BH10=0," ",10^((BH10-$AZ$27)/$AZ$26)))</f>
        <v>#VALUE!</v>
      </c>
      <c r="BJ10" s="834"/>
      <c r="BK10" s="857"/>
      <c r="BL10" s="448"/>
      <c r="BM10" s="833" t="e">
        <f>IF(AW$26=" "," ",IF(BL10=0," ",10^((BL10-$AW$27)/$AW$26)))</f>
        <v>#VALUE!</v>
      </c>
      <c r="BN10" s="834"/>
      <c r="BO10" s="857"/>
      <c r="BP10" s="448"/>
      <c r="BQ10" s="833" t="e">
        <f>IF(BB$26=" "," ",IF(BP10=0," ",10^((BP10-$BB$27)/$BB$26)))</f>
        <v>#VALUE!</v>
      </c>
      <c r="BR10" s="834"/>
      <c r="BS10" s="835"/>
      <c r="BT10" s="1"/>
      <c r="BU10" s="24"/>
      <c r="BV10" s="6"/>
      <c r="BW10" s="6"/>
      <c r="BX10" s="6"/>
      <c r="BY10" s="6"/>
      <c r="BZ10" s="25"/>
    </row>
    <row r="11" spans="1:78" ht="15" customHeight="1" thickBot="1" x14ac:dyDescent="0.25">
      <c r="B11" s="476" t="s">
        <v>48</v>
      </c>
      <c r="C11" s="827"/>
      <c r="D11" s="826"/>
      <c r="E11" s="826"/>
      <c r="F11" s="478" t="s">
        <v>49</v>
      </c>
      <c r="G11" s="1001"/>
      <c r="H11" s="1003"/>
      <c r="I11" s="1003"/>
      <c r="J11" s="1004"/>
      <c r="K11" s="999"/>
      <c r="L11" s="1003"/>
      <c r="M11" s="1003"/>
      <c r="N11" s="1000"/>
      <c r="O11" s="648"/>
      <c r="P11" s="509"/>
      <c r="Q11" s="533" t="s">
        <v>50</v>
      </c>
      <c r="R11" s="550">
        <f>'Dilution series A'!C24</f>
        <v>100</v>
      </c>
      <c r="S11" s="449"/>
      <c r="T11" s="449"/>
      <c r="U11" s="449"/>
      <c r="V11" s="23"/>
      <c r="W11" s="23"/>
      <c r="X11" s="23"/>
      <c r="Y11" s="23"/>
      <c r="Z11" s="23"/>
      <c r="AA11" s="23"/>
      <c r="AB11" s="23"/>
      <c r="AC11" s="214">
        <f t="shared" si="0"/>
        <v>100</v>
      </c>
      <c r="AD11" s="924"/>
      <c r="AE11" s="926"/>
      <c r="AF11" s="926"/>
      <c r="AG11" s="340"/>
      <c r="AH11" s="230"/>
      <c r="AI11" s="230"/>
      <c r="AJ11" s="230"/>
      <c r="AK11" s="230"/>
      <c r="AL11" s="230"/>
      <c r="AM11" s="239"/>
      <c r="AN11" s="236">
        <f>LOG(R$11)</f>
        <v>2</v>
      </c>
      <c r="AO11" s="236" t="str">
        <f>IF(U11="","",U11)</f>
        <v/>
      </c>
      <c r="AP11" s="234"/>
      <c r="AQ11" s="222" t="e">
        <f t="shared" si="3"/>
        <v>#VALUE!</v>
      </c>
      <c r="AR11" s="953"/>
      <c r="AS11" s="403" t="str">
        <f>IF(C$12=0,"",AS9)</f>
        <v/>
      </c>
      <c r="AT11" s="435" t="e">
        <f t="shared" si="4"/>
        <v>#VALUE!</v>
      </c>
      <c r="AU11" s="463"/>
      <c r="AV11" s="438" t="e">
        <f t="shared" si="1"/>
        <v>#VALUE!</v>
      </c>
      <c r="AW11" s="466"/>
      <c r="AX11" s="132" t="e">
        <f t="shared" si="2"/>
        <v>#VALUE!</v>
      </c>
      <c r="AY11" s="443" t="e">
        <f t="shared" si="5"/>
        <v>#VALUE!</v>
      </c>
      <c r="AZ11" s="463"/>
      <c r="BA11" s="438" t="e">
        <f t="shared" si="6"/>
        <v>#VALUE!</v>
      </c>
      <c r="BB11" s="463"/>
      <c r="BC11" s="14" t="e">
        <f t="shared" si="7"/>
        <v>#VALUE!</v>
      </c>
      <c r="BD11" s="448"/>
      <c r="BE11" s="833" t="e">
        <f>IF(AU$26=" "," ",IF(BD11=0," ",10^((BD11-$AU$27)/$AU$26)))</f>
        <v>#VALUE!</v>
      </c>
      <c r="BF11" s="834"/>
      <c r="BG11" s="857"/>
      <c r="BH11" s="448"/>
      <c r="BI11" s="833" t="e">
        <f>IF(AZ$26=" "," ",IF(BH11=0," ",10^((BH11-$AZ$27)/$AZ$26)))</f>
        <v>#VALUE!</v>
      </c>
      <c r="BJ11" s="834"/>
      <c r="BK11" s="857"/>
      <c r="BL11" s="448"/>
      <c r="BM11" s="833" t="e">
        <f>IF(AW$26=" "," ",IF(BL11=0," ",10^((BL11-$AW$27)/$AW$26)))</f>
        <v>#VALUE!</v>
      </c>
      <c r="BN11" s="834"/>
      <c r="BO11" s="857"/>
      <c r="BP11" s="448"/>
      <c r="BQ11" s="833" t="e">
        <f>IF(BB$26=" "," ",IF(BP11=0," ",10^((BP11-$BB$27)/$BB$26)))</f>
        <v>#VALUE!</v>
      </c>
      <c r="BR11" s="834"/>
      <c r="BS11" s="835"/>
      <c r="BT11" s="1"/>
      <c r="BU11" s="6"/>
      <c r="BV11" s="6"/>
      <c r="BW11" s="6"/>
      <c r="BX11" s="6"/>
      <c r="BY11" s="6"/>
      <c r="BZ11" s="27"/>
    </row>
    <row r="12" spans="1:78" ht="15" customHeight="1" thickTop="1" thickBot="1" x14ac:dyDescent="0.3">
      <c r="B12" s="2" t="s">
        <v>51</v>
      </c>
      <c r="C12" s="452"/>
      <c r="D12" s="2"/>
      <c r="E12" s="58"/>
      <c r="F12" s="2" t="s">
        <v>52</v>
      </c>
      <c r="G12" s="544"/>
      <c r="H12" s="28"/>
      <c r="I12" s="28"/>
      <c r="J12" s="28"/>
      <c r="K12" s="454"/>
      <c r="L12" s="28"/>
      <c r="M12" s="28"/>
      <c r="N12" s="28"/>
      <c r="O12" s="28"/>
      <c r="P12" s="402"/>
      <c r="Q12" s="533" t="s">
        <v>53</v>
      </c>
      <c r="R12" s="550">
        <f>'Dilution series A'!C25</f>
        <v>60</v>
      </c>
      <c r="S12" s="449"/>
      <c r="T12" s="449"/>
      <c r="U12" s="449"/>
      <c r="V12" s="449"/>
      <c r="W12" s="449"/>
      <c r="X12" s="449"/>
      <c r="Y12" s="449"/>
      <c r="Z12" s="449"/>
      <c r="AA12" s="449"/>
      <c r="AB12" s="449"/>
      <c r="AC12" s="342">
        <f t="shared" si="0"/>
        <v>60</v>
      </c>
      <c r="AD12" s="29" t="e">
        <f>INTERCEPT(AO$3:AO12,AN$3:AN12)</f>
        <v>#VALUE!</v>
      </c>
      <c r="AE12" s="30" t="str">
        <f>IF(OR(COUNTBLANK(S9:U9)&gt;1,COUNTBLANK(S10:U10)&gt;1,COUNTBLANK(S11:U11)&gt;1),"Duplikate!",SLOPE(AO$3:AO12,AN$3:AN12))</f>
        <v>Duplikate!</v>
      </c>
      <c r="AF12" s="30" t="e">
        <f>RSQ(AO$3:AO12,AN$3:AN12)</f>
        <v>#VALUE!</v>
      </c>
      <c r="AG12" s="341"/>
      <c r="AH12" s="240" t="e">
        <f>AND(AE12&gt;=-3.6,AE12&lt;=-3.1,AF12&gt;=0.98)</f>
        <v>#VALUE!</v>
      </c>
      <c r="AI12" s="240" t="b">
        <f t="shared" ref="AI12:AI16" si="8">COUNTBLANK(S12:AB12)&lt;1</f>
        <v>0</v>
      </c>
      <c r="AJ12" s="240" t="e">
        <f>AND(AH12=TRUE,AI12=TRUE)</f>
        <v>#VALUE!</v>
      </c>
      <c r="AK12" s="237" t="e">
        <f>AND(AJ12=TRUE)</f>
        <v>#VALUE!</v>
      </c>
      <c r="AL12" s="237" t="b">
        <f>AND(AI12=TRUE)</f>
        <v>0</v>
      </c>
      <c r="AM12" s="230"/>
      <c r="AN12" s="236">
        <f>LOG(R$12)</f>
        <v>1.7781512503836436</v>
      </c>
      <c r="AO12" s="236" t="e">
        <f t="shared" ref="AO12:AO16" si="9">AVERAGE(S12:AB12)</f>
        <v>#DIV/0!</v>
      </c>
      <c r="AP12" s="234"/>
      <c r="AQ12" s="222" t="e">
        <f t="shared" si="3"/>
        <v>#VALUE!</v>
      </c>
      <c r="AR12" s="885" t="s">
        <v>54</v>
      </c>
      <c r="AS12" s="405" t="str">
        <f>IF($C$12=0,"",C15)</f>
        <v/>
      </c>
      <c r="AT12" s="433" t="e">
        <f t="shared" si="4"/>
        <v>#VALUE!</v>
      </c>
      <c r="AU12" s="462"/>
      <c r="AV12" s="439" t="e">
        <f t="shared" si="1"/>
        <v>#VALUE!</v>
      </c>
      <c r="AW12" s="464"/>
      <c r="AX12" s="133" t="e">
        <f t="shared" si="2"/>
        <v>#VALUE!</v>
      </c>
      <c r="AY12" s="444" t="e">
        <f t="shared" si="5"/>
        <v>#VALUE!</v>
      </c>
      <c r="AZ12" s="462"/>
      <c r="BA12" s="439" t="e">
        <f t="shared" si="6"/>
        <v>#VALUE!</v>
      </c>
      <c r="BB12" s="462"/>
      <c r="BC12" s="14" t="e">
        <f t="shared" si="7"/>
        <v>#VALUE!</v>
      </c>
      <c r="BD12" s="858" t="s">
        <v>55</v>
      </c>
      <c r="BE12" s="859"/>
      <c r="BF12" s="859"/>
      <c r="BG12" s="861" t="e">
        <f>(AVERAGE(BI8:BK11)/AVERAGE(BE8:BG11))+(((AVERAGE(BI8:BK11)/(AVERAGE(BE8:BG11)^3))*(VAR(BE8:BG11))))</f>
        <v>#VALUE!</v>
      </c>
      <c r="BH12" s="861"/>
      <c r="BI12" s="127" t="s">
        <v>56</v>
      </c>
      <c r="BJ12" s="862" t="e">
        <f>SQRT(((VAR(BI8:BK11)/(AVERAGE(BI8:BK11)^2))+(VAR(BE8:BG11)/(AVERAGE(BE8:BG11)^2)))*((AVERAGE(BI8:BK11)/AVERAGE(BE8:BG11))^2))</f>
        <v>#VALUE!</v>
      </c>
      <c r="BK12" s="869"/>
      <c r="BL12" s="858" t="s">
        <v>665</v>
      </c>
      <c r="BM12" s="859"/>
      <c r="BN12" s="859"/>
      <c r="BO12" s="861" t="e">
        <f>(AVERAGE(BQ8:BS11)/AVERAGE(BM8:BO11))+(((AVERAGE(BQ8:BS11)/(AVERAGE(BM8:BO11)^3))*(VAR(BM8:BO11))))</f>
        <v>#VALUE!</v>
      </c>
      <c r="BP12" s="861"/>
      <c r="BQ12" s="18" t="s">
        <v>57</v>
      </c>
      <c r="BR12" s="862" t="e">
        <f>SQRT(((VAR(BQ8:BS11)/(AVERAGE(BQ8:BS11)^2))+(VAR(BM8:BO11)/(AVERAGE(BM8:BO11)^2)))*((AVERAGE(BQ8:BS11)/AVERAGE(BM8:BO11))^2))</f>
        <v>#VALUE!</v>
      </c>
      <c r="BS12" s="862"/>
      <c r="BT12" s="1"/>
      <c r="BU12" s="6"/>
      <c r="BV12" s="6"/>
      <c r="BW12" s="6"/>
      <c r="BX12" s="6"/>
      <c r="BY12" s="6"/>
      <c r="BZ12" s="879"/>
    </row>
    <row r="13" spans="1:78" ht="16.5" customHeight="1" thickBot="1" x14ac:dyDescent="0.25">
      <c r="C13" s="760" t="s">
        <v>575</v>
      </c>
      <c r="D13" s="208"/>
      <c r="E13" s="58"/>
      <c r="G13" s="764" t="s">
        <v>575</v>
      </c>
      <c r="H13" s="28"/>
      <c r="I13" s="28"/>
      <c r="J13" s="28"/>
      <c r="K13" s="764" t="s">
        <v>576</v>
      </c>
      <c r="L13" s="28"/>
      <c r="M13" s="28"/>
      <c r="N13" s="28"/>
      <c r="O13" s="28"/>
      <c r="P13" s="402"/>
      <c r="Q13" s="533" t="s">
        <v>58</v>
      </c>
      <c r="R13" s="550">
        <f>'Dilution series A'!C26</f>
        <v>40</v>
      </c>
      <c r="S13" s="449"/>
      <c r="T13" s="449"/>
      <c r="U13" s="449"/>
      <c r="V13" s="449"/>
      <c r="W13" s="449"/>
      <c r="X13" s="449"/>
      <c r="Y13" s="449"/>
      <c r="Z13" s="449"/>
      <c r="AA13" s="449"/>
      <c r="AB13" s="449"/>
      <c r="AC13" s="342">
        <f t="shared" si="0"/>
        <v>40</v>
      </c>
      <c r="AD13" s="29" t="e">
        <f>INTERCEPT(AO$3:AO13,AN$3:AN13)</f>
        <v>#VALUE!</v>
      </c>
      <c r="AE13" s="30" t="e">
        <f>SLOPE(AO$3:AO13,AN$3:AN13)</f>
        <v>#VALUE!</v>
      </c>
      <c r="AF13" s="30" t="e">
        <f>RSQ(AO$3:AO13,AN$3:AN13)</f>
        <v>#VALUE!</v>
      </c>
      <c r="AG13" s="341"/>
      <c r="AH13" s="240" t="e">
        <f>AND(AE13&gt;=-3.6,AE13&lt;=-3.1,AF13&gt;=0.98)</f>
        <v>#VALUE!</v>
      </c>
      <c r="AI13" s="240" t="b">
        <f t="shared" si="8"/>
        <v>0</v>
      </c>
      <c r="AJ13" s="240" t="e">
        <f>AND(AH13=TRUE,AI13=TRUE)</f>
        <v>#VALUE!</v>
      </c>
      <c r="AK13" s="237" t="e">
        <f>AND(AJ13=TRUE,AJ12=TRUE)</f>
        <v>#VALUE!</v>
      </c>
      <c r="AL13" s="237" t="b">
        <f>AND(AI13=TRUE,AI12=TRUE)</f>
        <v>0</v>
      </c>
      <c r="AM13" s="239"/>
      <c r="AN13" s="236">
        <f>LOG(R$13)</f>
        <v>1.6020599913279623</v>
      </c>
      <c r="AO13" s="236" t="e">
        <f t="shared" si="9"/>
        <v>#DIV/0!</v>
      </c>
      <c r="AP13" s="234"/>
      <c r="AQ13" s="222" t="e">
        <f t="shared" si="3"/>
        <v>#VALUE!</v>
      </c>
      <c r="AR13" s="886"/>
      <c r="AS13" s="404" t="str">
        <f>AS12</f>
        <v/>
      </c>
      <c r="AT13" s="434" t="e">
        <f t="shared" si="4"/>
        <v>#VALUE!</v>
      </c>
      <c r="AU13" s="447"/>
      <c r="AV13" s="437" t="e">
        <f t="shared" si="1"/>
        <v>#VALUE!</v>
      </c>
      <c r="AW13" s="465"/>
      <c r="AX13" s="131" t="e">
        <f t="shared" si="2"/>
        <v>#VALUE!</v>
      </c>
      <c r="AY13" s="442" t="e">
        <f t="shared" si="5"/>
        <v>#VALUE!</v>
      </c>
      <c r="AZ13" s="447"/>
      <c r="BA13" s="437" t="e">
        <f t="shared" si="6"/>
        <v>#VALUE!</v>
      </c>
      <c r="BB13" s="447"/>
      <c r="BC13" s="14" t="e">
        <f t="shared" si="7"/>
        <v>#VALUE!</v>
      </c>
      <c r="BT13" s="1"/>
      <c r="BU13" s="6"/>
      <c r="BV13" s="6"/>
      <c r="BW13" s="6"/>
      <c r="BX13" s="6"/>
      <c r="BY13" s="6"/>
      <c r="BZ13" s="879"/>
    </row>
    <row r="14" spans="1:78" ht="15" customHeight="1" thickTop="1" thickBot="1" x14ac:dyDescent="0.25">
      <c r="B14" s="2" t="s">
        <v>59</v>
      </c>
      <c r="C14" s="453"/>
      <c r="D14" s="2"/>
      <c r="E14" s="58"/>
      <c r="F14" s="2" t="s">
        <v>60</v>
      </c>
      <c r="G14" s="761" t="str">
        <f>IF($C$14&gt;60000,50000,IF($C$14&gt;=20000,$C$14-10000,""))</f>
        <v/>
      </c>
      <c r="H14" s="28"/>
      <c r="J14" s="28"/>
      <c r="K14" s="761" t="str">
        <f>IF($C$14&gt;60000,50000,IF($C$14&gt;=20000,$C$14-10000,""))</f>
        <v/>
      </c>
      <c r="L14" s="28"/>
      <c r="M14" s="28"/>
      <c r="N14" s="28"/>
      <c r="O14" s="28"/>
      <c r="P14" s="402"/>
      <c r="Q14" s="533" t="s">
        <v>61</v>
      </c>
      <c r="R14" s="550">
        <f>'Dilution series A'!C27</f>
        <v>20</v>
      </c>
      <c r="S14" s="449"/>
      <c r="T14" s="449"/>
      <c r="U14" s="449"/>
      <c r="V14" s="449"/>
      <c r="W14" s="449"/>
      <c r="X14" s="449"/>
      <c r="Y14" s="449"/>
      <c r="Z14" s="449"/>
      <c r="AA14" s="449"/>
      <c r="AB14" s="449"/>
      <c r="AC14" s="342">
        <f t="shared" si="0"/>
        <v>20</v>
      </c>
      <c r="AD14" s="29" t="e">
        <f>INTERCEPT(AO$3:AO14,AN$3:AN14)</f>
        <v>#VALUE!</v>
      </c>
      <c r="AE14" s="30" t="e">
        <f>SLOPE(AO$3:AO14,AN$3:AN14)</f>
        <v>#VALUE!</v>
      </c>
      <c r="AF14" s="30" t="e">
        <f>RSQ(AO$3:AO14,AN$3:AN14)</f>
        <v>#VALUE!</v>
      </c>
      <c r="AG14" s="341"/>
      <c r="AH14" s="240" t="e">
        <f>AND(AE14&gt;=-3.6,AE14&lt;=-3.1,AF14&gt;=0.98)</f>
        <v>#VALUE!</v>
      </c>
      <c r="AI14" s="240" t="b">
        <f t="shared" si="8"/>
        <v>0</v>
      </c>
      <c r="AJ14" s="240" t="e">
        <f>AND(AH14=TRUE,AI14=TRUE)</f>
        <v>#VALUE!</v>
      </c>
      <c r="AK14" s="237" t="e">
        <f>AND(AJ14=TRUE,AJ13=TRUE,AJ12=TRUE)</f>
        <v>#VALUE!</v>
      </c>
      <c r="AL14" s="238" t="b">
        <f>AND(AI14=TRUE,AI13=TRUE,AI12=TRUE)</f>
        <v>0</v>
      </c>
      <c r="AM14" s="235"/>
      <c r="AN14" s="236">
        <f>LOG(R$14)</f>
        <v>1.3010299956639813</v>
      </c>
      <c r="AO14" s="236" t="e">
        <f t="shared" si="9"/>
        <v>#DIV/0!</v>
      </c>
      <c r="AP14" s="234"/>
      <c r="AQ14" s="222" t="e">
        <f t="shared" si="3"/>
        <v>#VALUE!</v>
      </c>
      <c r="AR14" s="887"/>
      <c r="AS14" s="403" t="str">
        <f>AS12</f>
        <v/>
      </c>
      <c r="AT14" s="435" t="e">
        <f t="shared" si="4"/>
        <v>#VALUE!</v>
      </c>
      <c r="AU14" s="463"/>
      <c r="AV14" s="440" t="e">
        <f t="shared" si="1"/>
        <v>#VALUE!</v>
      </c>
      <c r="AW14" s="466"/>
      <c r="AX14" s="134" t="e">
        <f t="shared" si="2"/>
        <v>#VALUE!</v>
      </c>
      <c r="AY14" s="445" t="e">
        <f t="shared" si="5"/>
        <v>#VALUE!</v>
      </c>
      <c r="AZ14" s="463"/>
      <c r="BA14" s="440" t="e">
        <f t="shared" si="6"/>
        <v>#VALUE!</v>
      </c>
      <c r="BB14" s="463"/>
      <c r="BC14" s="14" t="e">
        <f t="shared" si="7"/>
        <v>#VALUE!</v>
      </c>
      <c r="BD14" s="208" t="s">
        <v>62</v>
      </c>
      <c r="BE14" s="2"/>
      <c r="BF14" s="2"/>
      <c r="BG14" s="209"/>
      <c r="BH14" s="2" t="str">
        <f>IF(K20="","",K20)</f>
        <v>Sample No.</v>
      </c>
      <c r="BI14" s="848" t="str">
        <f>IF(G22&gt;0,G22," ")</f>
        <v xml:space="preserve"> </v>
      </c>
      <c r="BJ14" s="848"/>
      <c r="BK14" s="13"/>
      <c r="BL14" s="873"/>
      <c r="BM14" s="874"/>
      <c r="BN14" s="874"/>
      <c r="BO14" s="875"/>
      <c r="BP14" s="875"/>
      <c r="BQ14" s="7"/>
      <c r="BR14" s="7"/>
      <c r="BS14" s="7"/>
      <c r="BT14" s="1"/>
      <c r="BU14" s="16"/>
      <c r="BV14" s="16"/>
      <c r="BW14" s="16"/>
      <c r="BX14" s="16"/>
      <c r="BY14" s="16"/>
      <c r="BZ14" s="31"/>
    </row>
    <row r="15" spans="1:78" ht="15" customHeight="1" thickTop="1" thickBot="1" x14ac:dyDescent="0.25">
      <c r="B15" s="2" t="s">
        <v>63</v>
      </c>
      <c r="C15" s="1227"/>
      <c r="D15" s="2"/>
      <c r="E15" s="58"/>
      <c r="F15" s="2" t="s">
        <v>64</v>
      </c>
      <c r="G15" s="762" t="str">
        <f>IF($C$14&gt;60000,50000,IF($C$14&gt;=20000,$C$14-10000,""))</f>
        <v/>
      </c>
      <c r="H15" s="28"/>
      <c r="I15" s="28"/>
      <c r="J15" s="402"/>
      <c r="K15" s="762" t="str">
        <f>IF($C$14&gt;60000,50000,IF($C$14&gt;=20000,$C$14-10000,""))</f>
        <v/>
      </c>
      <c r="L15" s="28"/>
      <c r="M15" s="28"/>
      <c r="N15" s="28"/>
      <c r="O15" s="28"/>
      <c r="P15" s="402"/>
      <c r="Q15" s="533" t="s">
        <v>65</v>
      </c>
      <c r="R15" s="550">
        <f>'Dilution series A'!C28</f>
        <v>10</v>
      </c>
      <c r="S15" s="767"/>
      <c r="T15" s="767"/>
      <c r="U15" s="767"/>
      <c r="V15" s="767"/>
      <c r="W15" s="767"/>
      <c r="X15" s="767"/>
      <c r="Y15" s="767"/>
      <c r="Z15" s="767"/>
      <c r="AA15" s="767"/>
      <c r="AB15" s="767"/>
      <c r="AC15" s="342">
        <f t="shared" si="0"/>
        <v>10</v>
      </c>
      <c r="AD15" s="29" t="e">
        <f>INTERCEPT(AO$3:AO15,AN$3:AN15)</f>
        <v>#VALUE!</v>
      </c>
      <c r="AE15" s="30" t="e">
        <f>SLOPE(AO$3:AO15,AN$3:AN15)</f>
        <v>#VALUE!</v>
      </c>
      <c r="AF15" s="30" t="e">
        <f>RSQ(AO$3:AO15,AN$3:AN15)</f>
        <v>#VALUE!</v>
      </c>
      <c r="AG15" s="341"/>
      <c r="AH15" s="240" t="e">
        <f>AND(AE15&gt;=-3.6,AE15&lt;=-3.1,AF15&gt;=0.98)</f>
        <v>#VALUE!</v>
      </c>
      <c r="AI15" s="240" t="b">
        <f t="shared" si="8"/>
        <v>0</v>
      </c>
      <c r="AJ15" s="240" t="e">
        <f>AND(AH15=TRUE,AI15=TRUE)</f>
        <v>#VALUE!</v>
      </c>
      <c r="AK15" s="237" t="e">
        <f>AND(AJ15=TRUE,AJ14=TRUE,AJ13=TRUE,AJ12=TRUE)</f>
        <v>#VALUE!</v>
      </c>
      <c r="AL15" s="238" t="b">
        <f>AND(AI15=TRUE,AI14=TRUE,AI13=TRUE,AI12=TRUE)</f>
        <v>0</v>
      </c>
      <c r="AM15" s="230"/>
      <c r="AN15" s="236">
        <f>LOG(R$15)</f>
        <v>1</v>
      </c>
      <c r="AO15" s="236" t="e">
        <f t="shared" si="9"/>
        <v>#DIV/0!</v>
      </c>
      <c r="AP15" s="234"/>
      <c r="AQ15" s="222" t="e">
        <f t="shared" si="3"/>
        <v>#VALUE!</v>
      </c>
      <c r="AR15" s="963" t="s">
        <v>66</v>
      </c>
      <c r="AS15" s="405" t="str">
        <f>IF(C$12=0,"",C16)</f>
        <v/>
      </c>
      <c r="AT15" s="433" t="e">
        <f t="shared" si="4"/>
        <v>#VALUE!</v>
      </c>
      <c r="AU15" s="462"/>
      <c r="AV15" s="436" t="e">
        <f t="shared" si="1"/>
        <v>#VALUE!</v>
      </c>
      <c r="AW15" s="464"/>
      <c r="AX15" s="130" t="e">
        <f>IF(AS15="Wert angeben!","",AS15*C$12)</f>
        <v>#VALUE!</v>
      </c>
      <c r="AY15" s="441" t="e">
        <f t="shared" si="5"/>
        <v>#VALUE!</v>
      </c>
      <c r="AZ15" s="462"/>
      <c r="BA15" s="436" t="e">
        <f t="shared" si="6"/>
        <v>#VALUE!</v>
      </c>
      <c r="BB15" s="462"/>
      <c r="BC15" s="14" t="e">
        <f t="shared" si="7"/>
        <v>#VALUE!</v>
      </c>
      <c r="BD15" s="876" t="s">
        <v>67</v>
      </c>
      <c r="BE15" s="876"/>
      <c r="BF15" s="876"/>
      <c r="BG15" s="876"/>
      <c r="BH15" s="876"/>
      <c r="BI15" s="876"/>
      <c r="BJ15" s="876"/>
      <c r="BK15" s="852"/>
      <c r="BL15" s="877" t="s">
        <v>68</v>
      </c>
      <c r="BM15" s="878"/>
      <c r="BN15" s="878"/>
      <c r="BO15" s="878"/>
      <c r="BP15" s="878"/>
      <c r="BQ15" s="878"/>
      <c r="BR15" s="878"/>
      <c r="BS15" s="878"/>
      <c r="BT15" s="1"/>
      <c r="BU15" s="4"/>
      <c r="BV15" s="6"/>
      <c r="BW15" s="6"/>
      <c r="BX15" s="6"/>
      <c r="BY15" s="6"/>
      <c r="BZ15" s="5"/>
    </row>
    <row r="16" spans="1:78" ht="15.75" customHeight="1" thickTop="1" thickBot="1" x14ac:dyDescent="0.25">
      <c r="B16" s="2" t="s">
        <v>69</v>
      </c>
      <c r="C16" s="1228"/>
      <c r="D16" s="2"/>
      <c r="E16" s="58"/>
      <c r="F16" s="58"/>
      <c r="G16" s="819" t="s">
        <v>70</v>
      </c>
      <c r="H16" s="820"/>
      <c r="I16" s="819" t="s">
        <v>571</v>
      </c>
      <c r="J16" s="820"/>
      <c r="K16" s="819" t="s">
        <v>71</v>
      </c>
      <c r="L16" s="821"/>
      <c r="M16" s="819" t="s">
        <v>72</v>
      </c>
      <c r="N16" s="820"/>
      <c r="O16" s="510"/>
      <c r="P16" s="510"/>
      <c r="Q16" s="533" t="s">
        <v>73</v>
      </c>
      <c r="R16" s="550">
        <f>'Dilution series A'!C29</f>
        <v>5</v>
      </c>
      <c r="S16" s="449"/>
      <c r="T16" s="449"/>
      <c r="U16" s="449"/>
      <c r="V16" s="449"/>
      <c r="W16" s="449"/>
      <c r="X16" s="449"/>
      <c r="Y16" s="449"/>
      <c r="Z16" s="449"/>
      <c r="AA16" s="449"/>
      <c r="AB16" s="449"/>
      <c r="AC16" s="342">
        <f t="shared" si="0"/>
        <v>5</v>
      </c>
      <c r="AD16" s="29" t="e">
        <f>INTERCEPT(AO$3:AO16,AN$3:AN16)</f>
        <v>#VALUE!</v>
      </c>
      <c r="AE16" s="30" t="e">
        <f>SLOPE(AO$3:AO16,AN$3:AN16)</f>
        <v>#VALUE!</v>
      </c>
      <c r="AF16" s="30" t="e">
        <f>RSQ(AO$3:AO16,AN$3:AN16)</f>
        <v>#VALUE!</v>
      </c>
      <c r="AH16" s="240" t="e">
        <f>AND(AE16&gt;=-3.6,AE16&lt;=-3.1,AF16&gt;=0.98)</f>
        <v>#VALUE!</v>
      </c>
      <c r="AI16" s="240" t="b">
        <f t="shared" si="8"/>
        <v>0</v>
      </c>
      <c r="AJ16" s="240" t="e">
        <f>AND(AH16=TRUE,AI16=TRUE)</f>
        <v>#VALUE!</v>
      </c>
      <c r="AK16" s="237" t="e">
        <f>AND(AJ16=TRUE,AJ15=TRUE,AJ14=TRUE,AJ13=TRUE,AJ12=TRUE)</f>
        <v>#VALUE!</v>
      </c>
      <c r="AL16" s="238" t="b">
        <f>AND(AI16=TRUE,AI15=TRUE,AI14=TRUE,AI13=TRUE,AI12=TRUE)</f>
        <v>0</v>
      </c>
      <c r="AM16" s="230"/>
      <c r="AN16" s="236">
        <f>LOG(R$16)</f>
        <v>0.69897000433601886</v>
      </c>
      <c r="AO16" s="236" t="e">
        <f t="shared" si="9"/>
        <v>#DIV/0!</v>
      </c>
      <c r="AP16" s="234"/>
      <c r="AQ16" s="222" t="e">
        <f t="shared" si="3"/>
        <v>#VALUE!</v>
      </c>
      <c r="AR16" s="886"/>
      <c r="AS16" s="404" t="str">
        <f>AS15</f>
        <v/>
      </c>
      <c r="AT16" s="434" t="e">
        <f t="shared" si="4"/>
        <v>#VALUE!</v>
      </c>
      <c r="AU16" s="447"/>
      <c r="AV16" s="437" t="e">
        <f t="shared" si="1"/>
        <v>#VALUE!</v>
      </c>
      <c r="AW16" s="465"/>
      <c r="AX16" s="131" t="e">
        <f>IF(AS16="Wert angeben!","",AS16*C$12)</f>
        <v>#VALUE!</v>
      </c>
      <c r="AY16" s="442" t="e">
        <f t="shared" si="5"/>
        <v>#VALUE!</v>
      </c>
      <c r="AZ16" s="447"/>
      <c r="BA16" s="437" t="e">
        <f t="shared" si="6"/>
        <v>#VALUE!</v>
      </c>
      <c r="BB16" s="447"/>
      <c r="BC16" s="14" t="e">
        <f t="shared" si="7"/>
        <v>#VALUE!</v>
      </c>
      <c r="BD16" s="841" t="s">
        <v>74</v>
      </c>
      <c r="BE16" s="842"/>
      <c r="BF16" s="843">
        <f>$K$6</f>
        <v>0</v>
      </c>
      <c r="BG16" s="844"/>
      <c r="BH16" s="845" t="s">
        <v>583</v>
      </c>
      <c r="BI16" s="846"/>
      <c r="BJ16" s="836">
        <f>$K$7</f>
        <v>0</v>
      </c>
      <c r="BK16" s="962"/>
      <c r="BL16" s="847" t="s">
        <v>75</v>
      </c>
      <c r="BM16" s="842"/>
      <c r="BN16" s="843">
        <f>$K$6</f>
        <v>0</v>
      </c>
      <c r="BO16" s="844"/>
      <c r="BP16" s="845" t="s">
        <v>583</v>
      </c>
      <c r="BQ16" s="846"/>
      <c r="BR16" s="836">
        <f>$K$7</f>
        <v>0</v>
      </c>
      <c r="BS16" s="837"/>
      <c r="BT16" s="1"/>
      <c r="BU16" s="4"/>
      <c r="BV16" s="6"/>
      <c r="BW16" s="6"/>
      <c r="BX16" s="6"/>
      <c r="BY16" s="6"/>
      <c r="BZ16" s="5"/>
    </row>
    <row r="17" spans="1:78" ht="16.5" customHeight="1" thickBot="1" x14ac:dyDescent="0.25">
      <c r="B17" s="2" t="s">
        <v>76</v>
      </c>
      <c r="C17" s="1229"/>
      <c r="F17" s="2" t="s">
        <v>77</v>
      </c>
      <c r="G17" s="822"/>
      <c r="H17" s="823"/>
      <c r="I17" s="969"/>
      <c r="J17" s="967"/>
      <c r="K17" s="968"/>
      <c r="L17" s="818"/>
      <c r="M17" s="965"/>
      <c r="N17" s="818"/>
      <c r="O17" s="510"/>
      <c r="P17" s="510"/>
      <c r="Q17" s="533" t="s">
        <v>78</v>
      </c>
      <c r="R17" s="550">
        <f>'Dilution series A'!C30</f>
        <v>1</v>
      </c>
      <c r="S17" s="449"/>
      <c r="T17" s="449"/>
      <c r="U17" s="449"/>
      <c r="V17" s="449"/>
      <c r="W17" s="449"/>
      <c r="X17" s="449"/>
      <c r="Y17" s="449"/>
      <c r="Z17" s="449"/>
      <c r="AA17" s="449"/>
      <c r="AB17" s="449"/>
      <c r="AC17" s="450">
        <f t="shared" si="0"/>
        <v>1</v>
      </c>
      <c r="AD17" s="970" t="str">
        <f>IF(COUNTBLANK(S17:AB17)&lt;1,"serial dilution is not plausible","serial dilution plausible")</f>
        <v>serial dilution plausible</v>
      </c>
      <c r="AE17" s="971"/>
      <c r="AF17" s="971"/>
      <c r="AG17" s="972"/>
      <c r="AH17" s="230"/>
      <c r="AI17" s="230"/>
      <c r="AJ17" s="230"/>
      <c r="AK17" s="230"/>
      <c r="AL17" s="230"/>
      <c r="AM17" s="230"/>
      <c r="AN17" s="236"/>
      <c r="AO17" s="351"/>
      <c r="AP17" s="234"/>
      <c r="AQ17" s="222" t="e">
        <f t="shared" si="3"/>
        <v>#VALUE!</v>
      </c>
      <c r="AR17" s="964"/>
      <c r="AS17" s="403" t="str">
        <f>AS15</f>
        <v/>
      </c>
      <c r="AT17" s="435" t="e">
        <f t="shared" si="4"/>
        <v>#VALUE!</v>
      </c>
      <c r="AU17" s="463"/>
      <c r="AV17" s="438" t="e">
        <f t="shared" si="1"/>
        <v>#VALUE!</v>
      </c>
      <c r="AW17" s="466"/>
      <c r="AX17" s="134" t="e">
        <f>IF(AS17="Wert angeben!","",AS17*C$12)</f>
        <v>#VALUE!</v>
      </c>
      <c r="AY17" s="443" t="e">
        <f t="shared" si="5"/>
        <v>#VALUE!</v>
      </c>
      <c r="AZ17" s="463"/>
      <c r="BA17" s="438" t="e">
        <f t="shared" si="6"/>
        <v>#VALUE!</v>
      </c>
      <c r="BB17" s="463"/>
      <c r="BC17" s="14" t="e">
        <f t="shared" si="7"/>
        <v>#VALUE!</v>
      </c>
      <c r="BD17" s="756" t="s">
        <v>584</v>
      </c>
      <c r="BE17" s="838" t="s">
        <v>630</v>
      </c>
      <c r="BF17" s="839"/>
      <c r="BG17" s="840"/>
      <c r="BH17" s="756" t="s">
        <v>584</v>
      </c>
      <c r="BI17" s="838" t="s">
        <v>630</v>
      </c>
      <c r="BJ17" s="839"/>
      <c r="BK17" s="840"/>
      <c r="BL17" s="757" t="s">
        <v>584</v>
      </c>
      <c r="BM17" s="838" t="s">
        <v>630</v>
      </c>
      <c r="BN17" s="839"/>
      <c r="BO17" s="840"/>
      <c r="BP17" s="756" t="s">
        <v>584</v>
      </c>
      <c r="BQ17" s="838" t="s">
        <v>630</v>
      </c>
      <c r="BR17" s="839"/>
      <c r="BS17" s="840"/>
      <c r="BT17" s="1"/>
      <c r="BU17" s="4"/>
      <c r="BV17" s="6"/>
      <c r="BW17" s="6"/>
      <c r="BX17" s="6"/>
      <c r="BY17" s="6"/>
      <c r="BZ17" s="5"/>
    </row>
    <row r="18" spans="1:78" ht="26.25" customHeight="1" thickBot="1" x14ac:dyDescent="0.25">
      <c r="B18" s="2" t="s">
        <v>79</v>
      </c>
      <c r="C18" s="1228"/>
      <c r="D18" s="1226" t="str">
        <f>IF(C18="","",IF(C18*C12*G6&gt;AC34,"Please adapt the level to LOQ!",""))</f>
        <v/>
      </c>
      <c r="E18" s="1219"/>
      <c r="F18" s="2" t="s">
        <v>80</v>
      </c>
      <c r="G18" s="822"/>
      <c r="H18" s="823"/>
      <c r="I18" s="966"/>
      <c r="J18" s="967"/>
      <c r="K18" s="968"/>
      <c r="L18" s="818"/>
      <c r="M18" s="965"/>
      <c r="N18" s="818"/>
      <c r="O18" s="510"/>
      <c r="P18" s="510"/>
      <c r="Q18" s="174"/>
      <c r="R18" s="670"/>
      <c r="AE18" s="33"/>
      <c r="AF18" s="17"/>
      <c r="AG18" s="17"/>
      <c r="AH18" s="230"/>
      <c r="AI18" s="230"/>
      <c r="AJ18" s="230"/>
      <c r="AK18" s="891" t="s">
        <v>81</v>
      </c>
      <c r="AL18" s="230"/>
      <c r="AM18" s="230"/>
      <c r="AN18" s="236"/>
      <c r="AO18" s="351"/>
      <c r="AP18" s="234"/>
      <c r="AQ18" s="222" t="e">
        <f t="shared" si="3"/>
        <v>#VALUE!</v>
      </c>
      <c r="AR18" s="885" t="s">
        <v>82</v>
      </c>
      <c r="AS18" s="405" t="str">
        <f>IF($C$12=0,"",C17)</f>
        <v/>
      </c>
      <c r="AT18" s="433" t="e">
        <f t="shared" si="4"/>
        <v>#VALUE!</v>
      </c>
      <c r="AU18" s="462"/>
      <c r="AV18" s="439" t="e">
        <f t="shared" si="1"/>
        <v>#VALUE!</v>
      </c>
      <c r="AW18" s="464"/>
      <c r="AX18" s="754" t="e">
        <f t="shared" ref="AX18:AX23" si="10">AS18*C$12</f>
        <v>#VALUE!</v>
      </c>
      <c r="AY18" s="444" t="e">
        <f t="shared" si="5"/>
        <v>#VALUE!</v>
      </c>
      <c r="AZ18" s="462"/>
      <c r="BA18" s="439" t="e">
        <f t="shared" si="6"/>
        <v>#VALUE!</v>
      </c>
      <c r="BB18" s="462"/>
      <c r="BC18" s="14" t="e">
        <f t="shared" si="7"/>
        <v>#VALUE!</v>
      </c>
      <c r="BD18" s="448"/>
      <c r="BE18" s="833" t="e">
        <f>IF(AU$26=" "," ",IF(BD18=0," ",10^((BD18-$AU$27)/$AU$26)))</f>
        <v>#VALUE!</v>
      </c>
      <c r="BF18" s="834"/>
      <c r="BG18" s="857"/>
      <c r="BH18" s="448"/>
      <c r="BI18" s="833" t="e">
        <f>IF(AZ$26=" "," ",IF(BH18=0," ",10^((BH18-$AZ$27)/$AZ$26)))</f>
        <v>#VALUE!</v>
      </c>
      <c r="BJ18" s="834"/>
      <c r="BK18" s="857"/>
      <c r="BL18" s="448"/>
      <c r="BM18" s="833" t="e">
        <f>IF(AW$26=" "," ",IF(BL18=0," ",10^((BL18-$AW$27)/$AW$26)))</f>
        <v>#VALUE!</v>
      </c>
      <c r="BN18" s="834"/>
      <c r="BO18" s="857"/>
      <c r="BP18" s="448"/>
      <c r="BQ18" s="833" t="e">
        <f>IF(BB$26=" "," ",IF(BP18=0," ",10^((BP18-$BB$27)/$BB$26)))</f>
        <v>#VALUE!</v>
      </c>
      <c r="BR18" s="834"/>
      <c r="BS18" s="835"/>
      <c r="BT18" s="1"/>
      <c r="BU18" s="4"/>
      <c r="BV18" s="6"/>
      <c r="BW18" s="6"/>
      <c r="BX18" s="6"/>
      <c r="BY18" s="6"/>
      <c r="BZ18" s="5"/>
    </row>
    <row r="19" spans="1:78" ht="26.25" customHeight="1" thickBot="1" x14ac:dyDescent="0.3">
      <c r="C19" s="785" t="s">
        <v>83</v>
      </c>
      <c r="D19" s="283" t="s">
        <v>84</v>
      </c>
      <c r="E19" s="763" t="s">
        <v>85</v>
      </c>
      <c r="F19" s="744" t="s">
        <v>588</v>
      </c>
      <c r="G19" s="831" t="s">
        <v>577</v>
      </c>
      <c r="H19" s="832"/>
      <c r="I19" s="832"/>
      <c r="J19" s="832"/>
      <c r="K19" s="832"/>
      <c r="L19" s="832"/>
      <c r="M19" s="832"/>
      <c r="N19" s="832"/>
      <c r="O19" s="511"/>
      <c r="P19" s="511"/>
      <c r="Q19" s="174"/>
      <c r="R19" s="395"/>
      <c r="AA19" s="867" t="s">
        <v>86</v>
      </c>
      <c r="AB19" s="888"/>
      <c r="AC19" s="228" t="str">
        <f>IF(AL16=TRUE,R16,IF(AL15=TRUE,R15,IF(AL14=TRUE,R14,IF(AL13=TRUE,R13,IF(AL12=TRUE,R12,"-")))))</f>
        <v>-</v>
      </c>
      <c r="AE19" s="384"/>
      <c r="AF19" s="7"/>
      <c r="AG19" s="7"/>
      <c r="AH19" s="230"/>
      <c r="AI19" s="230"/>
      <c r="AJ19" s="230"/>
      <c r="AK19" s="892"/>
      <c r="AL19" s="230"/>
      <c r="AM19" s="230"/>
      <c r="AN19" s="236"/>
      <c r="AO19" s="351"/>
      <c r="AP19" s="234"/>
      <c r="AQ19" s="222" t="e">
        <f t="shared" si="3"/>
        <v>#VALUE!</v>
      </c>
      <c r="AR19" s="886"/>
      <c r="AS19" s="404" t="str">
        <f>AS18</f>
        <v/>
      </c>
      <c r="AT19" s="434" t="e">
        <f t="shared" si="4"/>
        <v>#VALUE!</v>
      </c>
      <c r="AU19" s="447"/>
      <c r="AV19" s="437" t="e">
        <f t="shared" si="1"/>
        <v>#VALUE!</v>
      </c>
      <c r="AW19" s="465"/>
      <c r="AX19" s="131" t="e">
        <f t="shared" si="10"/>
        <v>#VALUE!</v>
      </c>
      <c r="AY19" s="442" t="e">
        <f t="shared" si="5"/>
        <v>#VALUE!</v>
      </c>
      <c r="AZ19" s="447"/>
      <c r="BA19" s="437" t="e">
        <f t="shared" si="6"/>
        <v>#VALUE!</v>
      </c>
      <c r="BB19" s="447"/>
      <c r="BC19" s="14" t="e">
        <f t="shared" si="7"/>
        <v>#VALUE!</v>
      </c>
      <c r="BD19" s="448"/>
      <c r="BE19" s="833" t="e">
        <f>IF(AU$26=" "," ",IF(BD19=0," ",10^((BD19-$AU$27)/$AU$26)))</f>
        <v>#VALUE!</v>
      </c>
      <c r="BF19" s="834"/>
      <c r="BG19" s="857"/>
      <c r="BH19" s="448"/>
      <c r="BI19" s="833" t="e">
        <f>IF(AZ$26=" "," ",IF(BH19=0," ",10^((BH19-$AZ$27)/$AZ$26)))</f>
        <v>#VALUE!</v>
      </c>
      <c r="BJ19" s="834"/>
      <c r="BK19" s="857"/>
      <c r="BL19" s="448"/>
      <c r="BM19" s="833" t="e">
        <f>IF(AW$26=" "," ",IF(BL19=0," ",10^((BL19-$AW$27)/$AW$26)))</f>
        <v>#VALUE!</v>
      </c>
      <c r="BN19" s="834"/>
      <c r="BO19" s="857"/>
      <c r="BP19" s="448"/>
      <c r="BQ19" s="833" t="e">
        <f>IF(BB$26=" "," ",IF(BP19=0," ",10^((BP19-$BB$27)/$BB$26)))</f>
        <v>#VALUE!</v>
      </c>
      <c r="BR19" s="834"/>
      <c r="BS19" s="835"/>
      <c r="BT19" s="1"/>
      <c r="BU19" s="4"/>
      <c r="BV19" s="35"/>
      <c r="BW19" s="26"/>
      <c r="BX19" s="26"/>
      <c r="BY19" s="26"/>
      <c r="BZ19" s="5"/>
    </row>
    <row r="20" spans="1:78" ht="24.75" customHeight="1" thickBot="1" x14ac:dyDescent="0.25">
      <c r="A20" s="976" t="s">
        <v>602</v>
      </c>
      <c r="B20" s="977"/>
      <c r="C20" s="746"/>
      <c r="D20" s="455"/>
      <c r="E20" s="696"/>
      <c r="F20" s="250"/>
      <c r="G20" s="982" t="s">
        <v>581</v>
      </c>
      <c r="H20" s="983"/>
      <c r="I20" s="283" t="s">
        <v>87</v>
      </c>
      <c r="J20" s="283" t="s">
        <v>88</v>
      </c>
      <c r="K20" s="982" t="s">
        <v>89</v>
      </c>
      <c r="L20" s="983"/>
      <c r="M20" s="283" t="s">
        <v>90</v>
      </c>
      <c r="N20" s="418" t="s">
        <v>91</v>
      </c>
      <c r="O20" s="283"/>
      <c r="P20" s="283"/>
      <c r="Q20" s="174"/>
      <c r="R20" s="395"/>
      <c r="AA20" s="37"/>
      <c r="AE20" s="38"/>
      <c r="AF20" s="7"/>
      <c r="AG20" s="7"/>
      <c r="AH20" s="230"/>
      <c r="AI20" s="884" t="s">
        <v>92</v>
      </c>
      <c r="AJ20" s="889" t="s">
        <v>578</v>
      </c>
      <c r="AK20" s="892"/>
      <c r="AL20" s="230"/>
      <c r="AM20" s="230"/>
      <c r="AN20" s="236"/>
      <c r="AO20" s="351"/>
      <c r="AP20" s="234"/>
      <c r="AQ20" s="222" t="e">
        <f t="shared" si="3"/>
        <v>#VALUE!</v>
      </c>
      <c r="AR20" s="887"/>
      <c r="AS20" s="403" t="str">
        <f>AS18</f>
        <v/>
      </c>
      <c r="AT20" s="435" t="e">
        <f t="shared" si="4"/>
        <v>#VALUE!</v>
      </c>
      <c r="AU20" s="463"/>
      <c r="AV20" s="440" t="e">
        <f t="shared" si="1"/>
        <v>#VALUE!</v>
      </c>
      <c r="AW20" s="466"/>
      <c r="AX20" s="134" t="e">
        <f t="shared" si="10"/>
        <v>#VALUE!</v>
      </c>
      <c r="AY20" s="445" t="e">
        <f t="shared" si="5"/>
        <v>#VALUE!</v>
      </c>
      <c r="AZ20" s="463"/>
      <c r="BA20" s="440" t="e">
        <f t="shared" si="6"/>
        <v>#VALUE!</v>
      </c>
      <c r="BB20" s="463"/>
      <c r="BC20" s="14" t="e">
        <f t="shared" si="7"/>
        <v>#VALUE!</v>
      </c>
      <c r="BD20" s="448"/>
      <c r="BE20" s="833" t="e">
        <f>IF(AU$26=" "," ",IF(BD20=0," ",10^((BD20-$AU$27)/$AU$26)))</f>
        <v>#VALUE!</v>
      </c>
      <c r="BF20" s="834"/>
      <c r="BG20" s="857"/>
      <c r="BH20" s="448"/>
      <c r="BI20" s="833" t="e">
        <f>IF(AZ$26=" "," ",IF(BH20=0," ",10^((BH20-$AZ$27)/$AZ$26)))</f>
        <v>#VALUE!</v>
      </c>
      <c r="BJ20" s="834"/>
      <c r="BK20" s="857"/>
      <c r="BL20" s="448"/>
      <c r="BM20" s="833" t="e">
        <f>IF(AW$26=" "," ",IF(BL20=0," ",10^((BL20-$AW$27)/$AW$26)))</f>
        <v>#VALUE!</v>
      </c>
      <c r="BN20" s="834"/>
      <c r="BO20" s="857"/>
      <c r="BP20" s="448"/>
      <c r="BQ20" s="833" t="e">
        <f>IF(BB$26=" "," ",IF(BP20=0," ",10^((BP20-$BB$27)/$BB$26)))</f>
        <v>#VALUE!</v>
      </c>
      <c r="BR20" s="834"/>
      <c r="BS20" s="835"/>
      <c r="BT20" s="1"/>
      <c r="BU20" s="4"/>
      <c r="BV20" s="879"/>
      <c r="BW20" s="879"/>
      <c r="BX20" s="879"/>
      <c r="BY20" s="879"/>
      <c r="BZ20" s="5"/>
    </row>
    <row r="21" spans="1:78" ht="15" customHeight="1" thickBot="1" x14ac:dyDescent="0.25">
      <c r="A21" s="976" t="s">
        <v>603</v>
      </c>
      <c r="B21" s="977"/>
      <c r="C21" s="746"/>
      <c r="D21" s="455"/>
      <c r="E21" s="696"/>
      <c r="F21" s="2" t="s">
        <v>93</v>
      </c>
      <c r="G21" s="825"/>
      <c r="H21" s="981"/>
      <c r="I21" s="455"/>
      <c r="J21" s="748"/>
      <c r="K21" s="985"/>
      <c r="L21" s="981"/>
      <c r="M21" s="455"/>
      <c r="N21" s="749"/>
      <c r="O21" s="512"/>
      <c r="P21" s="512"/>
      <c r="Q21" s="174"/>
      <c r="R21" s="395"/>
      <c r="AE21" s="38"/>
      <c r="AF21" s="7"/>
      <c r="AG21" s="7"/>
      <c r="AH21" s="230"/>
      <c r="AI21" s="884"/>
      <c r="AJ21" s="890"/>
      <c r="AK21" s="892"/>
      <c r="AL21" s="230"/>
      <c r="AM21" s="230"/>
      <c r="AN21" s="236"/>
      <c r="AO21" s="351"/>
      <c r="AP21" s="234"/>
      <c r="AQ21" s="222" t="e">
        <f t="shared" si="3"/>
        <v>#VALUE!</v>
      </c>
      <c r="AR21" s="885" t="s">
        <v>94</v>
      </c>
      <c r="AS21" s="405" t="str">
        <f>IF($C$12=0,"",C18)</f>
        <v/>
      </c>
      <c r="AT21" s="433" t="e">
        <f t="shared" si="4"/>
        <v>#VALUE!</v>
      </c>
      <c r="AU21" s="462"/>
      <c r="AV21" s="436" t="e">
        <f t="shared" si="1"/>
        <v>#VALUE!</v>
      </c>
      <c r="AW21" s="464"/>
      <c r="AX21" s="130" t="e">
        <f t="shared" si="10"/>
        <v>#VALUE!</v>
      </c>
      <c r="AY21" s="441" t="e">
        <f t="shared" si="5"/>
        <v>#VALUE!</v>
      </c>
      <c r="AZ21" s="462"/>
      <c r="BA21" s="436" t="e">
        <f t="shared" si="6"/>
        <v>#VALUE!</v>
      </c>
      <c r="BB21" s="462"/>
      <c r="BC21" s="14" t="e">
        <f t="shared" si="7"/>
        <v>#VALUE!</v>
      </c>
      <c r="BD21" s="448"/>
      <c r="BE21" s="833" t="e">
        <f>IF(AU$26=" "," ",IF(BD21=0," ",10^((BD21-$AU$27)/$AU$26)))</f>
        <v>#VALUE!</v>
      </c>
      <c r="BF21" s="834"/>
      <c r="BG21" s="857"/>
      <c r="BH21" s="448"/>
      <c r="BI21" s="833" t="e">
        <f>IF(AZ$26=" "," ",IF(BH21=0," ",10^((BH21-$AZ$27)/$AZ$26)))</f>
        <v>#VALUE!</v>
      </c>
      <c r="BJ21" s="834"/>
      <c r="BK21" s="857"/>
      <c r="BL21" s="448"/>
      <c r="BM21" s="833" t="e">
        <f>IF(AW$26=" "," ",IF(BL21=0," ",10^((BL21-$AW$27)/$AW$26)))</f>
        <v>#VALUE!</v>
      </c>
      <c r="BN21" s="834"/>
      <c r="BO21" s="857"/>
      <c r="BP21" s="448"/>
      <c r="BQ21" s="833" t="e">
        <f>IF(BB$26=" "," ",IF(BP21=0," ",10^((BP21-$BB$27)/$BB$26)))</f>
        <v>#VALUE!</v>
      </c>
      <c r="BR21" s="834"/>
      <c r="BS21" s="835"/>
      <c r="BT21" s="1"/>
      <c r="BU21" s="4"/>
      <c r="BV21" s="880"/>
      <c r="BW21" s="880"/>
      <c r="BX21" s="31"/>
      <c r="BY21" s="31"/>
      <c r="BZ21" s="5"/>
    </row>
    <row r="22" spans="1:78" ht="15" customHeight="1" thickBot="1" x14ac:dyDescent="0.3">
      <c r="A22" s="976" t="s">
        <v>604</v>
      </c>
      <c r="B22" s="980"/>
      <c r="C22" s="747"/>
      <c r="D22" s="458"/>
      <c r="E22" s="696"/>
      <c r="F22" s="2" t="s">
        <v>95</v>
      </c>
      <c r="G22" s="825"/>
      <c r="H22" s="981"/>
      <c r="I22" s="455"/>
      <c r="J22" s="748"/>
      <c r="K22" s="985"/>
      <c r="L22" s="981"/>
      <c r="M22" s="455"/>
      <c r="N22" s="749"/>
      <c r="O22" s="509"/>
      <c r="P22" s="509"/>
      <c r="Q22" s="174"/>
      <c r="R22" s="395"/>
      <c r="AD22" s="39"/>
      <c r="AE22" s="38"/>
      <c r="AF22" s="7"/>
      <c r="AG22" s="7"/>
      <c r="AH22" s="230"/>
      <c r="AI22" s="884"/>
      <c r="AJ22" s="890"/>
      <c r="AK22" s="892"/>
      <c r="AL22" s="234"/>
      <c r="AM22" s="230"/>
      <c r="AN22" s="236"/>
      <c r="AO22" s="236"/>
      <c r="AP22" s="234"/>
      <c r="AQ22" s="222" t="e">
        <f t="shared" si="3"/>
        <v>#VALUE!</v>
      </c>
      <c r="AR22" s="886"/>
      <c r="AS22" s="404" t="str">
        <f>AS21</f>
        <v/>
      </c>
      <c r="AT22" s="434" t="e">
        <f t="shared" si="4"/>
        <v>#VALUE!</v>
      </c>
      <c r="AU22" s="447"/>
      <c r="AV22" s="437" t="e">
        <f t="shared" si="1"/>
        <v>#VALUE!</v>
      </c>
      <c r="AW22" s="465"/>
      <c r="AX22" s="131" t="e">
        <f t="shared" si="10"/>
        <v>#VALUE!</v>
      </c>
      <c r="AY22" s="442" t="e">
        <f t="shared" si="5"/>
        <v>#VALUE!</v>
      </c>
      <c r="AZ22" s="447"/>
      <c r="BA22" s="437" t="e">
        <f t="shared" si="6"/>
        <v>#VALUE!</v>
      </c>
      <c r="BB22" s="447"/>
      <c r="BC22" s="14" t="e">
        <f t="shared" si="7"/>
        <v>#VALUE!</v>
      </c>
      <c r="BD22" s="858" t="s">
        <v>96</v>
      </c>
      <c r="BE22" s="859"/>
      <c r="BF22" s="859"/>
      <c r="BG22" s="861" t="e">
        <f>(AVERAGE(BI18:BK21)/AVERAGE(BE18:BG21))+(((AVERAGE(BI18:BK21)/(AVERAGE(BE18:BG21)^3))*(VAR(BE18:BG21))))</f>
        <v>#VALUE!</v>
      </c>
      <c r="BH22" s="861"/>
      <c r="BI22" s="18" t="s">
        <v>97</v>
      </c>
      <c r="BJ22" s="862" t="e">
        <f>SQRT(((VAR(BI18:BK21)/(AVERAGE(BI18:BK21)^2))+(VAR(BE18:BG21)/(AVERAGE(BE18:BG21)^2)))*((AVERAGE(BI18:BK21)/AVERAGE(BE18:BG21))^2))</f>
        <v>#VALUE!</v>
      </c>
      <c r="BK22" s="869"/>
      <c r="BL22" s="858" t="s">
        <v>98</v>
      </c>
      <c r="BM22" s="859"/>
      <c r="BN22" s="859"/>
      <c r="BO22" s="861" t="e">
        <f>(AVERAGE(BQ18:BS21)/AVERAGE(BM18:BO21))+(((AVERAGE(BQ18:BS21)/(AVERAGE(BM18:BO21)^3))*(VAR(BM18:BO21))))</f>
        <v>#VALUE!</v>
      </c>
      <c r="BP22" s="861"/>
      <c r="BQ22" s="18" t="s">
        <v>99</v>
      </c>
      <c r="BR22" s="862" t="e">
        <f>SQRT(((VAR(BQ18:BS21)/(AVERAGE(BQ18:BS21)^2))+(VAR(BM18:BO21)/(AVERAGE(BM18:BO21)^2)))*((AVERAGE(BQ18:BS21)/AVERAGE(BM18:BO21))^2))</f>
        <v>#VALUE!</v>
      </c>
      <c r="BS22" s="862"/>
      <c r="BT22" s="1"/>
      <c r="BU22" s="4"/>
      <c r="BV22" s="40"/>
      <c r="BW22" s="41"/>
      <c r="BX22" s="40"/>
      <c r="BY22" s="40"/>
      <c r="BZ22" s="5"/>
    </row>
    <row r="23" spans="1:78" ht="15" customHeight="1" thickBot="1" x14ac:dyDescent="0.25">
      <c r="A23" s="2"/>
      <c r="B23" s="22"/>
      <c r="C23" s="62"/>
      <c r="D23" s="58"/>
      <c r="E23" s="36"/>
      <c r="F23" s="36"/>
      <c r="G23" s="296"/>
      <c r="H23" s="297"/>
      <c r="I23" s="297"/>
      <c r="J23" s="296"/>
      <c r="K23" s="296"/>
      <c r="L23" s="297"/>
      <c r="M23" s="297"/>
      <c r="N23" s="296"/>
      <c r="O23" s="296"/>
      <c r="P23" s="296"/>
      <c r="Q23" s="175"/>
      <c r="R23" s="671"/>
      <c r="T23" s="7"/>
      <c r="U23" s="7"/>
      <c r="V23" s="7"/>
      <c r="AD23" s="39"/>
      <c r="AE23" s="38"/>
      <c r="AF23" s="7"/>
      <c r="AG23" s="7"/>
      <c r="AH23" s="230"/>
      <c r="AI23" s="884"/>
      <c r="AJ23" s="890"/>
      <c r="AK23" s="892"/>
      <c r="AL23" s="241"/>
      <c r="AM23" s="230"/>
      <c r="AN23" s="236"/>
      <c r="AO23" s="236"/>
      <c r="AP23" s="230"/>
      <c r="AQ23" s="222" t="e">
        <f t="shared" si="3"/>
        <v>#VALUE!</v>
      </c>
      <c r="AR23" s="887"/>
      <c r="AS23" s="403" t="str">
        <f>AS21</f>
        <v/>
      </c>
      <c r="AT23" s="435" t="e">
        <f t="shared" si="4"/>
        <v>#VALUE!</v>
      </c>
      <c r="AU23" s="463"/>
      <c r="AV23" s="438" t="e">
        <f t="shared" si="1"/>
        <v>#VALUE!</v>
      </c>
      <c r="AW23" s="466"/>
      <c r="AX23" s="132" t="e">
        <f t="shared" si="10"/>
        <v>#VALUE!</v>
      </c>
      <c r="AY23" s="443" t="e">
        <f t="shared" si="5"/>
        <v>#VALUE!</v>
      </c>
      <c r="AZ23" s="463"/>
      <c r="BA23" s="438" t="e">
        <f t="shared" si="6"/>
        <v>#VALUE!</v>
      </c>
      <c r="BB23" s="463"/>
      <c r="BC23" s="14" t="e">
        <f t="shared" si="7"/>
        <v>#VALUE!</v>
      </c>
      <c r="BT23" s="230"/>
      <c r="BU23" s="4"/>
      <c r="BV23" s="40"/>
      <c r="BW23" s="41"/>
      <c r="BX23" s="40"/>
      <c r="BY23" s="40"/>
      <c r="BZ23" s="26"/>
    </row>
    <row r="24" spans="1:78" ht="15" customHeight="1" thickBot="1" x14ac:dyDescent="0.3">
      <c r="A24" s="2"/>
      <c r="B24" s="2" t="s">
        <v>547</v>
      </c>
      <c r="C24" s="822"/>
      <c r="D24" s="818"/>
      <c r="E24" s="36"/>
      <c r="F24" s="36"/>
      <c r="G24" s="296"/>
      <c r="H24" s="297"/>
      <c r="I24" s="297"/>
      <c r="J24" s="296"/>
      <c r="K24" s="296"/>
      <c r="L24" s="297"/>
      <c r="M24" s="297"/>
      <c r="N24" s="296"/>
      <c r="O24" s="296"/>
      <c r="P24" s="296"/>
      <c r="Q24" s="664"/>
      <c r="R24" s="551"/>
      <c r="S24" s="881" t="s">
        <v>664</v>
      </c>
      <c r="T24" s="882"/>
      <c r="U24" s="882"/>
      <c r="V24" s="882"/>
      <c r="W24" s="882"/>
      <c r="X24" s="882"/>
      <c r="Y24" s="882"/>
      <c r="Z24" s="882"/>
      <c r="AA24" s="882"/>
      <c r="AB24" s="883"/>
      <c r="AC24" s="552" t="s">
        <v>100</v>
      </c>
      <c r="AE24" s="38"/>
      <c r="AF24" s="7"/>
      <c r="AG24" s="7"/>
      <c r="AH24" s="230" t="s">
        <v>101</v>
      </c>
      <c r="AI24" s="230"/>
      <c r="AJ24" s="230"/>
      <c r="AK24" s="230"/>
      <c r="AL24" s="241"/>
      <c r="AM24" s="230"/>
      <c r="AN24" s="236"/>
      <c r="AO24" s="236"/>
      <c r="AP24" s="230"/>
      <c r="AS24" s="755"/>
      <c r="AX24" s="245"/>
      <c r="BC24" s="13"/>
      <c r="BD24" s="867" t="s">
        <v>102</v>
      </c>
      <c r="BE24" s="868"/>
      <c r="BF24" s="868"/>
      <c r="BG24" s="864" t="e">
        <f>(BG12+BO12+BG22+BO22)/4</f>
        <v>#VALUE!</v>
      </c>
      <c r="BH24" s="865"/>
      <c r="BI24" s="224"/>
      <c r="BJ24" s="225" t="s">
        <v>103</v>
      </c>
      <c r="BK24" s="870" t="e">
        <f>SQRT(((3*BJ12^2)+(3*BR12^2)+(3*BJ22^2)+(3*BR22^2))/12)</f>
        <v>#VALUE!</v>
      </c>
      <c r="BL24" s="871"/>
      <c r="BM24" s="224"/>
      <c r="BN24" s="226" t="s">
        <v>104</v>
      </c>
      <c r="BO24" s="864" t="e">
        <f>(BK24/BG24)</f>
        <v>#VALUE!</v>
      </c>
      <c r="BP24" s="865"/>
      <c r="BQ24" s="224"/>
      <c r="BR24" s="224"/>
      <c r="BS24" s="227"/>
      <c r="BT24" s="230"/>
      <c r="BU24" s="4"/>
      <c r="BV24" s="40"/>
      <c r="BW24" s="41"/>
      <c r="BX24" s="40"/>
      <c r="BY24" s="40"/>
      <c r="BZ24" s="42"/>
    </row>
    <row r="25" spans="1:78" ht="15" customHeight="1" x14ac:dyDescent="0.2">
      <c r="B25" s="18" t="s">
        <v>105</v>
      </c>
      <c r="C25" s="786" t="str">
        <f>IF(K6=0,"",K6)</f>
        <v/>
      </c>
      <c r="D25" s="545"/>
      <c r="E25" s="545"/>
      <c r="F25" s="545"/>
      <c r="G25" s="311"/>
      <c r="I25" s="18" t="s">
        <v>106</v>
      </c>
      <c r="J25" s="547" t="str">
        <f>IF(K7=0,"",K7)</f>
        <v/>
      </c>
      <c r="K25" s="547"/>
      <c r="L25" s="548"/>
      <c r="M25" s="549"/>
      <c r="Q25" s="665"/>
      <c r="R25" s="553" t="str">
        <f t="shared" ref="R25:R30" si="11">R9</f>
        <v/>
      </c>
      <c r="S25" s="481" t="str">
        <f t="shared" ref="S25:U32" si="12">IF(S9&gt;0,10^((S9-$AJ$32)/$AJ$31)," ")</f>
        <v xml:space="preserve"> </v>
      </c>
      <c r="T25" s="294" t="str">
        <f t="shared" si="12"/>
        <v xml:space="preserve"> </v>
      </c>
      <c r="U25" s="294" t="str">
        <f t="shared" si="12"/>
        <v xml:space="preserve"> </v>
      </c>
      <c r="V25" s="47"/>
      <c r="W25" s="47"/>
      <c r="X25" s="47"/>
      <c r="Y25" s="47"/>
      <c r="Z25" s="47"/>
      <c r="AA25" s="47"/>
      <c r="AB25" s="47"/>
      <c r="AC25" s="485"/>
      <c r="AE25" s="38"/>
      <c r="AF25" s="7"/>
      <c r="AG25" s="7"/>
      <c r="AH25" s="240" t="e">
        <f>AND(AC28&lt;25%)</f>
        <v>#DIV/0!</v>
      </c>
      <c r="AI25" s="240" t="e">
        <f>AND(AH25=TRUE,AI12=TRUE)</f>
        <v>#DIV/0!</v>
      </c>
      <c r="AJ25" s="240" t="e">
        <f>AND(AJ12=TRUE,AI25=TRUE)</f>
        <v>#VALUE!</v>
      </c>
      <c r="AK25" s="240" t="e">
        <f>AND(AJ25=TRUE)</f>
        <v>#VALUE!</v>
      </c>
      <c r="AL25" s="241"/>
      <c r="AM25" s="230"/>
      <c r="AN25" s="236"/>
      <c r="AO25" s="236"/>
      <c r="AP25" s="230"/>
      <c r="AR25" s="315"/>
      <c r="AS25" s="43" t="s">
        <v>552</v>
      </c>
      <c r="AT25" s="44"/>
      <c r="AU25" s="554" t="e">
        <f>10^(-1/AU26)-1</f>
        <v>#VALUE!</v>
      </c>
      <c r="AV25" s="44"/>
      <c r="AW25" s="557" t="e">
        <f>10^(-1/AW26)-1</f>
        <v>#VALUE!</v>
      </c>
      <c r="AX25" s="246"/>
      <c r="AY25" s="45"/>
      <c r="AZ25" s="554" t="e">
        <f>10^(-1/AZ26)-1</f>
        <v>#VALUE!</v>
      </c>
      <c r="BA25" s="45"/>
      <c r="BB25" s="557" t="e">
        <f>10^(-1/BB26)-1</f>
        <v>#VALUE!</v>
      </c>
      <c r="BC25" s="13"/>
      <c r="BT25" s="230"/>
      <c r="BU25" s="4"/>
      <c r="BV25" s="40"/>
      <c r="BW25" s="41"/>
      <c r="BX25" s="40"/>
      <c r="BY25" s="40"/>
      <c r="BZ25" s="879"/>
    </row>
    <row r="26" spans="1:78" ht="15" customHeight="1" x14ac:dyDescent="0.2">
      <c r="B26" s="2" t="s">
        <v>107</v>
      </c>
      <c r="C26" s="828"/>
      <c r="D26" s="829"/>
      <c r="E26" s="829"/>
      <c r="F26" s="829"/>
      <c r="G26" s="419"/>
      <c r="H26" s="298"/>
      <c r="J26" s="828"/>
      <c r="K26" s="829"/>
      <c r="L26" s="829"/>
      <c r="M26" s="984"/>
      <c r="Q26" s="665"/>
      <c r="R26" s="553">
        <f t="shared" si="11"/>
        <v>500</v>
      </c>
      <c r="S26" s="482" t="str">
        <f t="shared" si="12"/>
        <v xml:space="preserve"> </v>
      </c>
      <c r="T26" s="46" t="str">
        <f t="shared" si="12"/>
        <v xml:space="preserve"> </v>
      </c>
      <c r="U26" s="46" t="str">
        <f t="shared" si="12"/>
        <v xml:space="preserve"> </v>
      </c>
      <c r="V26" s="47"/>
      <c r="W26" s="47"/>
      <c r="X26" s="47"/>
      <c r="Y26" s="47"/>
      <c r="Z26" s="47"/>
      <c r="AA26" s="47"/>
      <c r="AB26" s="47"/>
      <c r="AC26" s="485"/>
      <c r="AE26" s="33"/>
      <c r="AF26" s="7"/>
      <c r="AG26" s="7"/>
      <c r="AH26" s="240" t="e">
        <f>AND(AC29&lt;25%,AC28&lt;25%)</f>
        <v>#DIV/0!</v>
      </c>
      <c r="AI26" s="240" t="e">
        <f>AND(AH26=TRUE,AI13=TRUE)</f>
        <v>#DIV/0!</v>
      </c>
      <c r="AJ26" s="240" t="e">
        <f>AND(AJ13=TRUE,AI26=TRUE)</f>
        <v>#VALUE!</v>
      </c>
      <c r="AK26" s="240" t="e">
        <f>AND(AJ26=TRUE,AJ25=TRUE)</f>
        <v>#VALUE!</v>
      </c>
      <c r="AL26" s="241"/>
      <c r="AM26" s="230"/>
      <c r="AN26" s="236"/>
      <c r="AO26" s="236"/>
      <c r="AP26" s="230"/>
      <c r="AQ26" s="13"/>
      <c r="AR26" s="315"/>
      <c r="AS26" s="43" t="s">
        <v>553</v>
      </c>
      <c r="AT26" s="48"/>
      <c r="AU26" s="555" t="e">
        <f>SLOPE(AU9:AU23,$AQ9:$AQ23)</f>
        <v>#VALUE!</v>
      </c>
      <c r="AV26" s="48"/>
      <c r="AW26" s="558" t="e">
        <f>SLOPE(AW9:AW23,$AQ9:$AQ23)</f>
        <v>#VALUE!</v>
      </c>
      <c r="AX26" s="247"/>
      <c r="AY26" s="49"/>
      <c r="AZ26" s="556" t="e">
        <f>SLOPE(AZ9:AZ23,$BC9:$BC23)</f>
        <v>#VALUE!</v>
      </c>
      <c r="BA26" s="50"/>
      <c r="BB26" s="559" t="e">
        <f>SLOPE(BB9:BB23,$BC9:$BC23)</f>
        <v>#VALUE!</v>
      </c>
      <c r="BC26" s="13"/>
      <c r="BT26" s="230"/>
      <c r="BU26" s="4"/>
      <c r="BV26" s="40"/>
      <c r="BW26" s="41"/>
      <c r="BX26" s="40"/>
      <c r="BY26" s="40"/>
      <c r="BZ26" s="880"/>
    </row>
    <row r="27" spans="1:78" ht="15" customHeight="1" x14ac:dyDescent="0.2">
      <c r="B27" s="36"/>
      <c r="C27" s="829"/>
      <c r="D27" s="829"/>
      <c r="E27" s="829"/>
      <c r="F27" s="829"/>
      <c r="G27" s="419"/>
      <c r="H27" s="298"/>
      <c r="J27" s="829"/>
      <c r="K27" s="829"/>
      <c r="L27" s="829"/>
      <c r="M27" s="984"/>
      <c r="N27" s="209"/>
      <c r="O27" s="209"/>
      <c r="P27" s="209"/>
      <c r="Q27" s="665"/>
      <c r="R27" s="553">
        <f t="shared" si="11"/>
        <v>100</v>
      </c>
      <c r="S27" s="482" t="str">
        <f t="shared" si="12"/>
        <v xml:space="preserve"> </v>
      </c>
      <c r="T27" s="46" t="str">
        <f t="shared" si="12"/>
        <v xml:space="preserve"> </v>
      </c>
      <c r="U27" s="46" t="str">
        <f t="shared" si="12"/>
        <v xml:space="preserve"> </v>
      </c>
      <c r="V27" s="47"/>
      <c r="W27" s="47"/>
      <c r="X27" s="47"/>
      <c r="Y27" s="47"/>
      <c r="Z27" s="47"/>
      <c r="AA27" s="47"/>
      <c r="AB27" s="47"/>
      <c r="AC27" s="485"/>
      <c r="AE27" s="33"/>
      <c r="AF27" s="7"/>
      <c r="AG27" s="7"/>
      <c r="AH27" s="240" t="e">
        <f>AND(AC30&lt;25%,AC29&lt;25%,AC28&lt;25%)</f>
        <v>#DIV/0!</v>
      </c>
      <c r="AI27" s="240" t="e">
        <f>AND(AH27=TRUE,AI14=TRUE)</f>
        <v>#DIV/0!</v>
      </c>
      <c r="AJ27" s="240" t="e">
        <f>AND(AJ14=TRUE,AI27=TRUE)</f>
        <v>#VALUE!</v>
      </c>
      <c r="AK27" s="240" t="e">
        <f>AND(AJ27=TRUE,AJ26=TRUE,AJ25=TRUE)</f>
        <v>#VALUE!</v>
      </c>
      <c r="AL27" s="230"/>
      <c r="AM27" s="230"/>
      <c r="AN27" s="236"/>
      <c r="AO27" s="236"/>
      <c r="AP27" s="230"/>
      <c r="AR27" s="315"/>
      <c r="AS27" s="18" t="s">
        <v>554</v>
      </c>
      <c r="AT27" s="51"/>
      <c r="AU27" s="555" t="e">
        <f>INTERCEPT(AU9:AU23,$AQ9:$AQ23)</f>
        <v>#VALUE!</v>
      </c>
      <c r="AV27" s="51"/>
      <c r="AW27" s="558" t="e">
        <f>INTERCEPT(AW9:AW23,$AQ9:$AQ23)</f>
        <v>#VALUE!</v>
      </c>
      <c r="AX27" s="248"/>
      <c r="AY27" s="52"/>
      <c r="AZ27" s="555" t="e">
        <f>INTERCEPT(AZ9:AZ23,$BC9:$BC23)</f>
        <v>#VALUE!</v>
      </c>
      <c r="BA27" s="53"/>
      <c r="BB27" s="558" t="e">
        <f>INTERCEPT(BB9:BB23,$BC9:$BC23)</f>
        <v>#VALUE!</v>
      </c>
      <c r="BC27" s="13"/>
      <c r="BD27" s="1"/>
      <c r="BE27" s="1"/>
      <c r="BF27" s="9" t="s">
        <v>595</v>
      </c>
      <c r="BG27" s="9"/>
      <c r="BH27" s="9"/>
      <c r="BI27" s="9"/>
      <c r="BJ27" s="9"/>
      <c r="BK27" s="10"/>
      <c r="BL27" s="849" t="s">
        <v>629</v>
      </c>
      <c r="BM27" s="850"/>
      <c r="BN27" s="850"/>
      <c r="BO27" s="851" t="str">
        <f>IF(K12&gt;0,K12," ")</f>
        <v xml:space="preserve"> </v>
      </c>
      <c r="BP27" s="851"/>
      <c r="BQ27" s="1"/>
      <c r="BR27" s="1"/>
      <c r="BS27" s="1"/>
      <c r="BT27" s="230"/>
      <c r="BU27" s="4"/>
      <c r="BV27" s="4"/>
      <c r="BW27" s="6"/>
      <c r="BX27" s="6"/>
      <c r="BY27" s="6"/>
      <c r="BZ27" s="31"/>
    </row>
    <row r="28" spans="1:78" ht="15" customHeight="1" thickBot="1" x14ac:dyDescent="0.25">
      <c r="C28" s="420" t="s">
        <v>108</v>
      </c>
      <c r="D28" s="420" t="s">
        <v>109</v>
      </c>
      <c r="E28" s="420" t="s">
        <v>110</v>
      </c>
      <c r="J28" s="420" t="s">
        <v>111</v>
      </c>
      <c r="K28" s="420" t="s">
        <v>112</v>
      </c>
      <c r="L28" s="420" t="s">
        <v>113</v>
      </c>
      <c r="Q28" s="666"/>
      <c r="R28" s="553">
        <f t="shared" si="11"/>
        <v>60</v>
      </c>
      <c r="S28" s="483" t="str">
        <f t="shared" si="12"/>
        <v xml:space="preserve"> </v>
      </c>
      <c r="T28" s="34" t="str">
        <f t="shared" si="12"/>
        <v xml:space="preserve"> </v>
      </c>
      <c r="U28" s="34" t="str">
        <f t="shared" si="12"/>
        <v xml:space="preserve"> </v>
      </c>
      <c r="V28" s="34" t="str">
        <f t="shared" ref="V28:AB32" si="13">IF(V12&gt;0,10^((V12-$AJ$32)/$AJ$31)," ")</f>
        <v xml:space="preserve"> </v>
      </c>
      <c r="W28" s="34" t="str">
        <f t="shared" si="13"/>
        <v xml:space="preserve"> </v>
      </c>
      <c r="X28" s="34" t="str">
        <f t="shared" si="13"/>
        <v xml:space="preserve"> </v>
      </c>
      <c r="Y28" s="34" t="str">
        <f t="shared" si="13"/>
        <v xml:space="preserve"> </v>
      </c>
      <c r="Z28" s="34" t="str">
        <f t="shared" si="13"/>
        <v xml:space="preserve"> </v>
      </c>
      <c r="AA28" s="34" t="str">
        <f t="shared" si="13"/>
        <v xml:space="preserve"> </v>
      </c>
      <c r="AB28" s="484" t="str">
        <f t="shared" si="13"/>
        <v xml:space="preserve"> </v>
      </c>
      <c r="AC28" s="486" t="e">
        <f>STDEV(S28:AB28)/AVERAGE(S28:AB28)</f>
        <v>#DIV/0!</v>
      </c>
      <c r="AE28" s="33"/>
      <c r="AF28" s="7"/>
      <c r="AG28" s="7"/>
      <c r="AH28" s="240" t="e">
        <f>AND(AC31&lt;25%,AC30&lt;25%,AC29&lt;25%,AC28&lt;25%)</f>
        <v>#DIV/0!</v>
      </c>
      <c r="AI28" s="240" t="e">
        <f>AND(AH28=TRUE,AI15=TRUE)</f>
        <v>#DIV/0!</v>
      </c>
      <c r="AJ28" s="240" t="e">
        <f>AND(AJ15=TRUE,AI28=TRUE)</f>
        <v>#VALUE!</v>
      </c>
      <c r="AK28" s="240" t="e">
        <f>AND(AJ28=TRUE,AJ27=TRUE,AJ26=TRUE,AJ25=TRUE)</f>
        <v>#VALUE!</v>
      </c>
      <c r="AL28" s="230"/>
      <c r="AM28" s="230"/>
      <c r="AN28" s="236"/>
      <c r="AO28" s="236"/>
      <c r="AP28" s="230"/>
      <c r="AQ28" s="209"/>
      <c r="AR28" s="315"/>
      <c r="AS28" s="206" t="s">
        <v>114</v>
      </c>
      <c r="AT28" s="205"/>
      <c r="AU28" s="555" t="e">
        <f>RSQ($AU9:$AU23,AQ9:AQ23)</f>
        <v>#VALUE!</v>
      </c>
      <c r="AV28" s="51"/>
      <c r="AW28" s="558" t="e">
        <f>RSQ($AW9:$AW23,AQ9:AQ23)</f>
        <v>#VALUE!</v>
      </c>
      <c r="AX28" s="249"/>
      <c r="AY28" s="49"/>
      <c r="AZ28" s="555" t="e">
        <f>RSQ(AZ9:AZ23,BC9:BC23)</f>
        <v>#VALUE!</v>
      </c>
      <c r="BA28" s="49"/>
      <c r="BB28" s="558" t="e">
        <f>RSQ($BB9:$BB23,BC9:BC23)</f>
        <v>#VALUE!</v>
      </c>
      <c r="BC28" s="13"/>
      <c r="BT28" s="230"/>
      <c r="BU28" s="4"/>
      <c r="BV28" s="4"/>
      <c r="BW28" s="31"/>
      <c r="BX28" s="31"/>
      <c r="BY28" s="31"/>
      <c r="BZ28" s="5"/>
    </row>
    <row r="29" spans="1:78" ht="15" customHeight="1" thickTop="1" thickBot="1" x14ac:dyDescent="0.25">
      <c r="B29" s="480" t="s">
        <v>115</v>
      </c>
      <c r="C29" s="424"/>
      <c r="D29" s="421"/>
      <c r="E29" s="422"/>
      <c r="I29" s="480" t="s">
        <v>116</v>
      </c>
      <c r="J29" s="424"/>
      <c r="K29" s="421"/>
      <c r="L29" s="422"/>
      <c r="Q29" s="667"/>
      <c r="R29" s="553">
        <f t="shared" si="11"/>
        <v>40</v>
      </c>
      <c r="S29" s="483" t="str">
        <f t="shared" si="12"/>
        <v xml:space="preserve"> </v>
      </c>
      <c r="T29" s="34" t="str">
        <f t="shared" si="12"/>
        <v xml:space="preserve"> </v>
      </c>
      <c r="U29" s="34" t="str">
        <f t="shared" si="12"/>
        <v xml:space="preserve"> </v>
      </c>
      <c r="V29" s="34" t="str">
        <f t="shared" si="13"/>
        <v xml:space="preserve"> </v>
      </c>
      <c r="W29" s="34" t="str">
        <f t="shared" si="13"/>
        <v xml:space="preserve"> </v>
      </c>
      <c r="X29" s="34" t="str">
        <f t="shared" si="13"/>
        <v xml:space="preserve"> </v>
      </c>
      <c r="Y29" s="34" t="str">
        <f t="shared" si="13"/>
        <v xml:space="preserve"> </v>
      </c>
      <c r="Z29" s="34" t="str">
        <f t="shared" si="13"/>
        <v xml:space="preserve"> </v>
      </c>
      <c r="AA29" s="34" t="str">
        <f t="shared" si="13"/>
        <v xml:space="preserve"> </v>
      </c>
      <c r="AB29" s="484" t="str">
        <f t="shared" si="13"/>
        <v xml:space="preserve"> </v>
      </c>
      <c r="AC29" s="486" t="e">
        <f>STDEV(S29:AB29)/AVERAGE(S29:AB29)</f>
        <v>#DIV/0!</v>
      </c>
      <c r="AE29" s="33"/>
      <c r="AF29" s="7"/>
      <c r="AG29" s="7"/>
      <c r="AH29" s="240" t="e">
        <f>AND(AC28&lt;25%,AC32&lt;25%,AC31&lt;25%,AC30&lt;25%,AC29&lt;25%)</f>
        <v>#DIV/0!</v>
      </c>
      <c r="AI29" s="240" t="e">
        <f>AND(AH29=TRUE,AI16=TRUE)</f>
        <v>#DIV/0!</v>
      </c>
      <c r="AJ29" s="240" t="e">
        <f>AND(AJ16=TRUE,AI29=TRUE)</f>
        <v>#VALUE!</v>
      </c>
      <c r="AK29" s="240" t="e">
        <f>AND(AJ25=TRUE,AJ29=TRUE,AJ28=TRUE,AJ27=TRUE,AJ26=TRUE)</f>
        <v>#VALUE!</v>
      </c>
      <c r="AL29" s="230"/>
      <c r="AM29" s="230"/>
      <c r="AN29" s="236"/>
      <c r="AO29" s="236"/>
      <c r="AP29" s="230"/>
      <c r="AQ29" s="13"/>
      <c r="AR29" s="13"/>
      <c r="AS29" s="13"/>
      <c r="BC29" s="13"/>
      <c r="BD29" s="208" t="s">
        <v>117</v>
      </c>
      <c r="BE29" s="2"/>
      <c r="BF29" s="2"/>
      <c r="BG29" s="209"/>
      <c r="BH29" s="2" t="str">
        <f>IF(G20="","",G20)</f>
        <v>Sample No.</v>
      </c>
      <c r="BI29" s="848" t="str">
        <f>IF(K21&gt;0,K21," ")</f>
        <v xml:space="preserve"> </v>
      </c>
      <c r="BJ29" s="848"/>
      <c r="BK29" s="13"/>
      <c r="BL29" s="209"/>
      <c r="BM29" s="209"/>
      <c r="BN29" s="209"/>
      <c r="BO29" s="209"/>
      <c r="BP29" s="209"/>
      <c r="BQ29" s="32"/>
      <c r="BR29" s="209"/>
      <c r="BS29" s="209"/>
      <c r="BT29" s="230"/>
      <c r="BU29" s="4"/>
      <c r="BV29" s="4"/>
      <c r="BW29" s="40"/>
      <c r="BX29" s="40"/>
      <c r="BY29" s="40"/>
      <c r="BZ29" s="5"/>
    </row>
    <row r="30" spans="1:78" ht="15" customHeight="1" thickTop="1" thickBot="1" x14ac:dyDescent="0.25">
      <c r="A30" s="978" t="s">
        <v>623</v>
      </c>
      <c r="B30" s="979"/>
      <c r="C30" s="459"/>
      <c r="H30" s="978" t="s">
        <v>118</v>
      </c>
      <c r="I30" s="979"/>
      <c r="J30" s="457"/>
      <c r="Q30" s="668"/>
      <c r="R30" s="553">
        <f t="shared" si="11"/>
        <v>20</v>
      </c>
      <c r="S30" s="483" t="str">
        <f t="shared" si="12"/>
        <v xml:space="preserve"> </v>
      </c>
      <c r="T30" s="34" t="str">
        <f t="shared" si="12"/>
        <v xml:space="preserve"> </v>
      </c>
      <c r="U30" s="34" t="str">
        <f t="shared" si="12"/>
        <v xml:space="preserve"> </v>
      </c>
      <c r="V30" s="34" t="str">
        <f t="shared" si="13"/>
        <v xml:space="preserve"> </v>
      </c>
      <c r="W30" s="34" t="str">
        <f t="shared" si="13"/>
        <v xml:space="preserve"> </v>
      </c>
      <c r="X30" s="34" t="str">
        <f t="shared" si="13"/>
        <v xml:space="preserve"> </v>
      </c>
      <c r="Y30" s="34" t="str">
        <f t="shared" si="13"/>
        <v xml:space="preserve"> </v>
      </c>
      <c r="Z30" s="34" t="str">
        <f t="shared" si="13"/>
        <v xml:space="preserve"> </v>
      </c>
      <c r="AA30" s="34" t="str">
        <f t="shared" si="13"/>
        <v xml:space="preserve"> </v>
      </c>
      <c r="AB30" s="484" t="str">
        <f t="shared" si="13"/>
        <v xml:space="preserve"> </v>
      </c>
      <c r="AC30" s="486" t="e">
        <f>STDEV(S30:AB30)/AVERAGE(S30:AB30)</f>
        <v>#DIV/0!</v>
      </c>
      <c r="AE30" s="33"/>
      <c r="AF30" s="7"/>
      <c r="AG30" s="7"/>
      <c r="AH30" s="373" t="s">
        <v>119</v>
      </c>
      <c r="AI30" s="374"/>
      <c r="AJ30" s="467" t="str">
        <f>R9</f>
        <v/>
      </c>
      <c r="AK30" s="375" t="s">
        <v>120</v>
      </c>
      <c r="AL30" s="376" t="e">
        <f>IF(AK16=TRUE,R16,IF(AK15=TRUE,R15,IF(AK14=TRUE,R14,IF(AK13=TRUE,R13,IF(AK12=TRUE,R12,"x")))))</f>
        <v>#VALUE!</v>
      </c>
      <c r="AM30" s="1"/>
      <c r="AN30" s="236"/>
      <c r="AO30" s="236"/>
      <c r="AP30" s="4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852" t="s">
        <v>121</v>
      </c>
      <c r="BE30" s="853"/>
      <c r="BF30" s="853"/>
      <c r="BG30" s="853"/>
      <c r="BH30" s="853"/>
      <c r="BI30" s="853"/>
      <c r="BJ30" s="853"/>
      <c r="BK30" s="853"/>
      <c r="BL30" s="854" t="s">
        <v>122</v>
      </c>
      <c r="BM30" s="855"/>
      <c r="BN30" s="855"/>
      <c r="BO30" s="855"/>
      <c r="BP30" s="855"/>
      <c r="BQ30" s="855"/>
      <c r="BR30" s="855"/>
      <c r="BS30" s="856"/>
      <c r="BT30" s="4"/>
      <c r="BU30" s="4"/>
      <c r="BV30" s="4"/>
      <c r="BW30" s="40"/>
      <c r="BX30" s="40"/>
      <c r="BY30" s="40"/>
      <c r="BZ30" s="5"/>
    </row>
    <row r="31" spans="1:78" ht="15" customHeight="1" thickBot="1" x14ac:dyDescent="0.25">
      <c r="G31" s="282" t="s">
        <v>624</v>
      </c>
      <c r="Q31" s="669"/>
      <c r="R31" s="553">
        <f>R15</f>
        <v>10</v>
      </c>
      <c r="S31" s="483" t="str">
        <f t="shared" si="12"/>
        <v xml:space="preserve"> </v>
      </c>
      <c r="T31" s="34" t="str">
        <f t="shared" si="12"/>
        <v xml:space="preserve"> </v>
      </c>
      <c r="U31" s="34" t="str">
        <f t="shared" si="12"/>
        <v xml:space="preserve"> </v>
      </c>
      <c r="V31" s="34" t="str">
        <f t="shared" si="13"/>
        <v xml:space="preserve"> </v>
      </c>
      <c r="W31" s="34" t="str">
        <f t="shared" si="13"/>
        <v xml:space="preserve"> </v>
      </c>
      <c r="X31" s="34" t="str">
        <f t="shared" si="13"/>
        <v xml:space="preserve"> </v>
      </c>
      <c r="Y31" s="34" t="str">
        <f t="shared" si="13"/>
        <v xml:space="preserve"> </v>
      </c>
      <c r="Z31" s="34" t="str">
        <f t="shared" si="13"/>
        <v xml:space="preserve"> </v>
      </c>
      <c r="AA31" s="34" t="str">
        <f t="shared" si="13"/>
        <v xml:space="preserve"> </v>
      </c>
      <c r="AB31" s="484" t="str">
        <f t="shared" si="13"/>
        <v xml:space="preserve"> </v>
      </c>
      <c r="AC31" s="486" t="e">
        <f>STDEV(S31:AB31)/AVERAGE(S31:AB31)</f>
        <v>#DIV/0!</v>
      </c>
      <c r="AE31" s="33"/>
      <c r="AF31" s="7"/>
      <c r="AG31" s="7"/>
      <c r="AH31" s="377" t="s">
        <v>123</v>
      </c>
      <c r="AI31" s="378"/>
      <c r="AJ31" s="237" t="e">
        <f>VLOOKUP(AL30,AC12:AF16,3,FALSE)</f>
        <v>#VALUE!</v>
      </c>
      <c r="AK31" s="378"/>
      <c r="AL31" s="379"/>
      <c r="AM31" s="240"/>
      <c r="AN31" s="236"/>
      <c r="AO31" s="236"/>
      <c r="AP31" s="4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841" t="s">
        <v>124</v>
      </c>
      <c r="BE31" s="842"/>
      <c r="BF31" s="843">
        <f>$K$6</f>
        <v>0</v>
      </c>
      <c r="BG31" s="844"/>
      <c r="BH31" s="845" t="s">
        <v>583</v>
      </c>
      <c r="BI31" s="846"/>
      <c r="BJ31" s="836">
        <f>$K$7</f>
        <v>0</v>
      </c>
      <c r="BK31" s="836"/>
      <c r="BL31" s="847" t="s">
        <v>125</v>
      </c>
      <c r="BM31" s="842"/>
      <c r="BN31" s="843">
        <f>$K$6</f>
        <v>0</v>
      </c>
      <c r="BO31" s="844"/>
      <c r="BP31" s="845" t="s">
        <v>583</v>
      </c>
      <c r="BQ31" s="846"/>
      <c r="BR31" s="836">
        <f>$K$7</f>
        <v>0</v>
      </c>
      <c r="BS31" s="837"/>
      <c r="BT31" s="4"/>
      <c r="BU31" s="4"/>
      <c r="BV31" s="4"/>
      <c r="BW31" s="40"/>
      <c r="BX31" s="40"/>
      <c r="BY31" s="40"/>
      <c r="BZ31" s="5"/>
    </row>
    <row r="32" spans="1:78" ht="15" customHeight="1" thickBot="1" x14ac:dyDescent="0.25">
      <c r="G32" s="456"/>
      <c r="J32" s="2"/>
      <c r="Q32" s="669"/>
      <c r="R32" s="553">
        <f>R16</f>
        <v>5</v>
      </c>
      <c r="S32" s="483" t="str">
        <f t="shared" si="12"/>
        <v xml:space="preserve"> </v>
      </c>
      <c r="T32" s="34" t="str">
        <f t="shared" si="12"/>
        <v xml:space="preserve"> </v>
      </c>
      <c r="U32" s="34" t="str">
        <f t="shared" si="12"/>
        <v xml:space="preserve"> </v>
      </c>
      <c r="V32" s="34" t="str">
        <f t="shared" si="13"/>
        <v xml:space="preserve"> </v>
      </c>
      <c r="W32" s="34" t="str">
        <f t="shared" si="13"/>
        <v xml:space="preserve"> </v>
      </c>
      <c r="X32" s="34" t="str">
        <f t="shared" si="13"/>
        <v xml:space="preserve"> </v>
      </c>
      <c r="Y32" s="34" t="str">
        <f t="shared" si="13"/>
        <v xml:space="preserve"> </v>
      </c>
      <c r="Z32" s="34" t="str">
        <f t="shared" si="13"/>
        <v xml:space="preserve"> </v>
      </c>
      <c r="AA32" s="34" t="str">
        <f t="shared" si="13"/>
        <v xml:space="preserve"> </v>
      </c>
      <c r="AB32" s="484" t="str">
        <f t="shared" si="13"/>
        <v xml:space="preserve"> </v>
      </c>
      <c r="AC32" s="486" t="e">
        <f>STDEV(S32:AB32)/AVERAGE(S32:AB32)</f>
        <v>#DIV/0!</v>
      </c>
      <c r="AD32" s="54"/>
      <c r="AE32" s="33"/>
      <c r="AF32" s="7"/>
      <c r="AG32" s="7"/>
      <c r="AH32" s="377" t="s">
        <v>126</v>
      </c>
      <c r="AI32" s="378"/>
      <c r="AJ32" s="237" t="e">
        <f>VLOOKUP(AL30,AC12:AF16,2,FALSE)</f>
        <v>#VALUE!</v>
      </c>
      <c r="AK32" s="109"/>
      <c r="AL32" s="379"/>
      <c r="AM32" s="240"/>
      <c r="AN32" s="236"/>
      <c r="AO32" s="236"/>
      <c r="AP32" s="26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756" t="s">
        <v>584</v>
      </c>
      <c r="BE32" s="838" t="s">
        <v>630</v>
      </c>
      <c r="BF32" s="839"/>
      <c r="BG32" s="840"/>
      <c r="BH32" s="756" t="s">
        <v>584</v>
      </c>
      <c r="BI32" s="838" t="s">
        <v>630</v>
      </c>
      <c r="BJ32" s="839"/>
      <c r="BK32" s="840"/>
      <c r="BL32" s="757" t="s">
        <v>584</v>
      </c>
      <c r="BM32" s="839" t="s">
        <v>127</v>
      </c>
      <c r="BN32" s="839"/>
      <c r="BO32" s="840"/>
      <c r="BP32" s="756" t="s">
        <v>584</v>
      </c>
      <c r="BQ32" s="838" t="s">
        <v>630</v>
      </c>
      <c r="BR32" s="839"/>
      <c r="BS32" s="840"/>
      <c r="BT32" s="26"/>
      <c r="BU32" s="6"/>
      <c r="BV32" s="6"/>
      <c r="BW32" s="6"/>
      <c r="BX32" s="6"/>
      <c r="BY32" s="6"/>
      <c r="BZ32" s="5"/>
    </row>
    <row r="33" spans="1:78" ht="15" customHeight="1" thickBot="1" x14ac:dyDescent="0.3">
      <c r="A33" s="1"/>
      <c r="B33" s="830" t="s">
        <v>128</v>
      </c>
      <c r="C33" s="830"/>
      <c r="D33" s="830"/>
      <c r="E33" s="1"/>
      <c r="F33" s="1"/>
      <c r="G33" s="1"/>
      <c r="H33" s="1"/>
      <c r="I33" s="1"/>
      <c r="J33" s="107"/>
      <c r="K33" s="107"/>
      <c r="L33" s="1"/>
      <c r="M33" s="1"/>
      <c r="N33" s="1"/>
      <c r="O33" s="1"/>
      <c r="P33" s="1"/>
      <c r="Q33" s="39"/>
      <c r="R33" s="39"/>
      <c r="S33" s="39"/>
      <c r="T33" s="39"/>
      <c r="U33" s="39"/>
      <c r="V33" s="39"/>
      <c r="W33" s="39"/>
      <c r="X33" s="39"/>
      <c r="AE33" s="33"/>
      <c r="AF33" s="7"/>
      <c r="AG33" s="7"/>
      <c r="AH33" s="380" t="s">
        <v>129</v>
      </c>
      <c r="AI33" s="381"/>
      <c r="AJ33" s="382" t="e">
        <f>VLOOKUP(AL30,AC12:AF16,4,FALSE)</f>
        <v>#VALUE!</v>
      </c>
      <c r="AK33" s="381"/>
      <c r="AL33" s="383"/>
      <c r="AM33" s="240"/>
      <c r="AN33" s="236"/>
      <c r="AO33" s="236"/>
      <c r="AP33" s="26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448"/>
      <c r="BE33" s="833" t="e">
        <f>IF(AU$26=" "," ",IF(BD33=0," ",10^((BD33-$AU$27)/$AU$26)))</f>
        <v>#VALUE!</v>
      </c>
      <c r="BF33" s="834"/>
      <c r="BG33" s="857"/>
      <c r="BH33" s="448"/>
      <c r="BI33" s="833" t="e">
        <f>IF(AZ$26=" "," ",IF(BH33=0," ",10^((BH33-$AZ$27)/$AZ$26)))</f>
        <v>#VALUE!</v>
      </c>
      <c r="BJ33" s="834"/>
      <c r="BK33" s="857"/>
      <c r="BL33" s="448"/>
      <c r="BM33" s="833" t="e">
        <f>IF(AW$26=" "," ",IF(BL33=0," ",10^((BL33-$AW$27)/$AW$26)))</f>
        <v>#VALUE!</v>
      </c>
      <c r="BN33" s="834"/>
      <c r="BO33" s="857"/>
      <c r="BP33" s="448"/>
      <c r="BQ33" s="833" t="e">
        <f>IF(BB$26=" "," ",IF(BP33=0," ",10^((BP33-$BB$27)/$BB$26)))</f>
        <v>#VALUE!</v>
      </c>
      <c r="BR33" s="834"/>
      <c r="BS33" s="835"/>
      <c r="BT33" s="26"/>
      <c r="BU33" s="6"/>
      <c r="BV33" s="6"/>
      <c r="BW33" s="6"/>
      <c r="BX33" s="6"/>
      <c r="BY33" s="6"/>
      <c r="BZ33" s="5"/>
    </row>
    <row r="34" spans="1:78" ht="15" customHeight="1" thickBot="1" x14ac:dyDescent="0.3">
      <c r="A34" s="15"/>
      <c r="B34" s="305"/>
      <c r="C34" s="304"/>
      <c r="D34" s="814" t="s">
        <v>587</v>
      </c>
      <c r="E34" s="814"/>
      <c r="F34" s="815" t="s">
        <v>549</v>
      </c>
      <c r="G34" s="816"/>
      <c r="H34" s="810" t="s">
        <v>548</v>
      </c>
      <c r="J34" s="497"/>
      <c r="AA34" s="812" t="s">
        <v>130</v>
      </c>
      <c r="AB34" s="813"/>
      <c r="AC34" s="229" t="str">
        <f>IF(AL12=FALSE,"-",IF(AL30&lt;&gt;"x",IF(AK29=TRUE,R32,IF(AK28=TRUE,R31,IF(AK27=TRUE,R30,IF(AK26=TRUE,R29,IF(AK25=TRUE,R28,"-"))))),"-"))</f>
        <v>-</v>
      </c>
      <c r="AE34" s="33"/>
      <c r="AF34" s="7"/>
      <c r="AG34" s="7"/>
      <c r="AH34" s="4"/>
      <c r="AI34" s="4"/>
      <c r="AJ34" s="4"/>
      <c r="AK34" s="4"/>
      <c r="AL34" s="4"/>
      <c r="AM34" s="26"/>
      <c r="AN34" s="236"/>
      <c r="AO34" s="236"/>
      <c r="AP34" s="26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448"/>
      <c r="BE34" s="833" t="e">
        <f>IF(AU$26=" "," ",IF(BD34=0," ",10^((BD34-$AU$27)/$AU$26)))</f>
        <v>#VALUE!</v>
      </c>
      <c r="BF34" s="834"/>
      <c r="BG34" s="857"/>
      <c r="BH34" s="448"/>
      <c r="BI34" s="833" t="e">
        <f>IF(AZ$26=" "," ",IF(BH34=0," ",10^((BH34-$AZ$27)/$AZ$26)))</f>
        <v>#VALUE!</v>
      </c>
      <c r="BJ34" s="834"/>
      <c r="BK34" s="857"/>
      <c r="BL34" s="448"/>
      <c r="BM34" s="833" t="e">
        <f>IF(AW$26=" "," ",IF(BL34=0," ",10^((BL34-$AW$27)/$AW$26)))</f>
        <v>#VALUE!</v>
      </c>
      <c r="BN34" s="834"/>
      <c r="BO34" s="857"/>
      <c r="BP34" s="448"/>
      <c r="BQ34" s="833" t="e">
        <f>IF(BB$26=" "," ",IF(BP34=0," ",10^((BP34-$BB$27)/$BB$26)))</f>
        <v>#VALUE!</v>
      </c>
      <c r="BR34" s="834"/>
      <c r="BS34" s="835"/>
      <c r="BT34" s="26"/>
      <c r="BU34" s="6"/>
      <c r="BV34" s="6"/>
      <c r="BW34" s="6"/>
      <c r="BX34" s="6"/>
      <c r="BY34" s="6"/>
      <c r="BZ34" s="6"/>
    </row>
    <row r="35" spans="1:78" ht="15" customHeight="1" thickBot="1" x14ac:dyDescent="0.25">
      <c r="A35" s="58"/>
      <c r="B35" s="305"/>
      <c r="C35" s="303"/>
      <c r="D35" s="739" t="s">
        <v>131</v>
      </c>
      <c r="E35" s="739" t="s">
        <v>132</v>
      </c>
      <c r="F35" s="740" t="s">
        <v>133</v>
      </c>
      <c r="G35" s="495" t="s">
        <v>134</v>
      </c>
      <c r="H35" s="811"/>
      <c r="J35" s="498"/>
      <c r="AE35" s="33"/>
      <c r="AF35" s="7"/>
      <c r="AG35" s="7"/>
      <c r="AH35" s="4"/>
      <c r="AI35" s="4"/>
      <c r="AJ35" s="4"/>
      <c r="AK35" s="4"/>
      <c r="AL35" s="4"/>
      <c r="AM35" s="26"/>
      <c r="AN35" s="236"/>
      <c r="AO35" s="236"/>
      <c r="AP35" s="26"/>
      <c r="AQ35" s="13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448"/>
      <c r="BE35" s="833" t="e">
        <f>IF(AU$26=" "," ",IF(BD35=0," ",10^((BD35-$AU$27)/$AU$26)))</f>
        <v>#VALUE!</v>
      </c>
      <c r="BF35" s="834"/>
      <c r="BG35" s="857"/>
      <c r="BH35" s="448"/>
      <c r="BI35" s="833" t="e">
        <f>IF(AZ$26=" "," ",IF(BH35=0," ",10^((BH35-$AZ$27)/$AZ$26)))</f>
        <v>#VALUE!</v>
      </c>
      <c r="BJ35" s="834"/>
      <c r="BK35" s="857"/>
      <c r="BL35" s="448"/>
      <c r="BM35" s="833" t="e">
        <f>IF(AW$26=" "," ",IF(BL35=0," ",10^((BL35-$AW$27)/$AW$26)))</f>
        <v>#VALUE!</v>
      </c>
      <c r="BN35" s="834"/>
      <c r="BO35" s="857"/>
      <c r="BP35" s="448"/>
      <c r="BQ35" s="833" t="e">
        <f>IF(BB$26=" "," ",IF(BP35=0," ",10^((BP35-$BB$27)/$BB$26)))</f>
        <v>#VALUE!</v>
      </c>
      <c r="BR35" s="834"/>
      <c r="BS35" s="835"/>
      <c r="BT35" s="26"/>
      <c r="BU35" s="6"/>
      <c r="BV35" s="6"/>
      <c r="BW35" s="6"/>
      <c r="BX35" s="6"/>
      <c r="BY35" s="6"/>
      <c r="BZ35" s="6"/>
    </row>
    <row r="36" spans="1:78" ht="15" customHeight="1" thickBot="1" x14ac:dyDescent="0.25">
      <c r="C36" s="546" t="str">
        <f>IF(K6=0,"",K6)</f>
        <v/>
      </c>
      <c r="D36" s="220" t="e">
        <f>IF($H36="fulfilled",$AU28,"-")</f>
        <v>#VALUE!</v>
      </c>
      <c r="E36" s="220" t="e">
        <f>IF($H36="fulfilled",$AW28,"-")</f>
        <v>#VALUE!</v>
      </c>
      <c r="F36" s="496" t="e">
        <f>IF(H36="fulfilled",AU26,"-")</f>
        <v>#VALUE!</v>
      </c>
      <c r="G36" s="496" t="e">
        <f>IF(H36="fulfilled",AW26,"-")</f>
        <v>#VALUE!</v>
      </c>
      <c r="H36" s="220" t="e">
        <f>IF(AND(AU26&lt;=-3.1,AU26&gt;=-3.6,AU28&gt;=0.98,AW26&lt;=-3.1,AW26&gt;=-3.6,AW28&gt;=0.98),"fulfilled","not fulfilled")</f>
        <v>#VALUE!</v>
      </c>
      <c r="J36" s="499"/>
      <c r="AE36" s="33"/>
      <c r="AF36" s="7"/>
      <c r="AG36" s="7"/>
      <c r="AH36" s="4"/>
      <c r="AI36" s="4"/>
      <c r="AJ36" s="4"/>
      <c r="AK36" s="4"/>
      <c r="AL36" s="4"/>
      <c r="AM36" s="26"/>
      <c r="AN36" s="236"/>
      <c r="AO36" s="236"/>
      <c r="AP36" s="26"/>
      <c r="AQ36" s="13"/>
      <c r="BD36" s="448"/>
      <c r="BE36" s="833" t="e">
        <f>IF(AU$26=" "," ",IF(BD36=0," ",10^((BD36-$AU$27)/$AU$26)))</f>
        <v>#VALUE!</v>
      </c>
      <c r="BF36" s="834"/>
      <c r="BG36" s="857"/>
      <c r="BH36" s="448"/>
      <c r="BI36" s="833" t="e">
        <f>IF(AZ$26=" "," ",IF(BH36=0," ",10^((BH36-$AZ$27)/$AZ$26)))</f>
        <v>#VALUE!</v>
      </c>
      <c r="BJ36" s="834"/>
      <c r="BK36" s="857"/>
      <c r="BL36" s="448"/>
      <c r="BM36" s="833" t="e">
        <f>IF(AW$26=" "," ",IF(BL36=0," ",10^((BL36-$AW$27)/$AW$26)))</f>
        <v>#VALUE!</v>
      </c>
      <c r="BN36" s="834"/>
      <c r="BO36" s="857"/>
      <c r="BP36" s="448"/>
      <c r="BQ36" s="833" t="e">
        <f>IF(BB$26=" "," ",IF(BP36=0," ",10^((BP36-$BB$27)/$BB$26)))</f>
        <v>#VALUE!</v>
      </c>
      <c r="BR36" s="834"/>
      <c r="BS36" s="835"/>
      <c r="BT36" s="26"/>
      <c r="BU36" s="6"/>
      <c r="BV36" s="6"/>
      <c r="BW36" s="6"/>
      <c r="BX36" s="6"/>
      <c r="BY36" s="6"/>
      <c r="BZ36" s="6"/>
    </row>
    <row r="37" spans="1:78" ht="15" customHeight="1" x14ac:dyDescent="0.25">
      <c r="C37" s="564" t="str">
        <f>IF(K7=0,"",K7)</f>
        <v/>
      </c>
      <c r="D37" s="221" t="e">
        <f>IF($H37="fulfilled",$AZ28,"-")</f>
        <v>#VALUE!</v>
      </c>
      <c r="E37" s="221" t="e">
        <f>IF($H37="fulfilled",$BB28,"-")</f>
        <v>#VALUE!</v>
      </c>
      <c r="F37" s="494" t="e">
        <f>IF(H37="fulfilled",AZ26,"-")</f>
        <v>#VALUE!</v>
      </c>
      <c r="G37" s="494" t="e">
        <f>IF(H37="fulfilled",BB26,"-")</f>
        <v>#VALUE!</v>
      </c>
      <c r="H37" s="220" t="e">
        <f>IF(AND(AZ26&lt;=-3.1,AZ26&gt;=-3.6,AZ28&gt;=0.98,BB26&lt;=-3.1,BB26&gt;=-3.6,BB28&gt;=0.98),"fulfilled","not fulfilled")</f>
        <v>#VALUE!</v>
      </c>
      <c r="J37" s="499"/>
      <c r="AE37" s="33"/>
      <c r="AF37" s="7"/>
      <c r="AG37" s="7"/>
      <c r="AH37" s="4"/>
      <c r="AI37" s="4"/>
      <c r="AJ37" s="4"/>
      <c r="AK37" s="4"/>
      <c r="AL37" s="4"/>
      <c r="AM37" s="26"/>
      <c r="AN37" s="236"/>
      <c r="AO37" s="236"/>
      <c r="AP37" s="26"/>
      <c r="AQ37" s="13"/>
      <c r="BD37" s="858" t="s">
        <v>666</v>
      </c>
      <c r="BE37" s="859"/>
      <c r="BF37" s="859"/>
      <c r="BG37" s="861" t="e">
        <f>(AVERAGE(BI33:BK36)/AVERAGE(BE33:BG36))+(((AVERAGE(BI33:BK36)/(AVERAGE(BE33:BG36)^3))*(VAR(BE33:BG36))))</f>
        <v>#VALUE!</v>
      </c>
      <c r="BH37" s="861"/>
      <c r="BI37" s="127" t="s">
        <v>135</v>
      </c>
      <c r="BJ37" s="862" t="e">
        <f>SQRT(((VAR(BI33:BK36)/(AVERAGE(BI33:BK36)^2))+(VAR(BE33:BG36)/(AVERAGE(BE33:BG36)^2)))*((AVERAGE(BI33:BK36)/AVERAGE(BE33:BG36))^2))</f>
        <v>#VALUE!</v>
      </c>
      <c r="BK37" s="869"/>
      <c r="BL37" s="858" t="s">
        <v>136</v>
      </c>
      <c r="BM37" s="859"/>
      <c r="BN37" s="859"/>
      <c r="BO37" s="860" t="e">
        <f>(AVERAGE(BQ33:BS36)/AVERAGE(BM33:BO36))+(((AVERAGE(BQ33:BS36)/(AVERAGE(BM33:BO36)^3))*(VAR(BM33:BO36))))</f>
        <v>#VALUE!</v>
      </c>
      <c r="BP37" s="861"/>
      <c r="BQ37" s="127" t="s">
        <v>137</v>
      </c>
      <c r="BR37" s="862" t="e">
        <f>SQRT(((VAR(BQ33:BS36)/(AVERAGE(BQ33:BS36)^2))+(VAR(BM33:BO36)/(AVERAGE(BM33:BO36)^2)))*((AVERAGE(BQ33:BS36)/AVERAGE(BM33:BO36))^2))</f>
        <v>#VALUE!</v>
      </c>
      <c r="BS37" s="862"/>
      <c r="BT37" s="26"/>
      <c r="BU37" s="6"/>
      <c r="BV37" s="6"/>
      <c r="BW37" s="6"/>
      <c r="BX37" s="6"/>
      <c r="BY37" s="6"/>
      <c r="BZ37" s="6"/>
    </row>
    <row r="38" spans="1:78" ht="15" customHeight="1" x14ac:dyDescent="0.2">
      <c r="AE38" s="33"/>
      <c r="AF38" s="7"/>
      <c r="AG38" s="7"/>
      <c r="AH38" s="4"/>
      <c r="AI38" s="4"/>
      <c r="AJ38" s="4"/>
      <c r="AK38" s="4"/>
      <c r="AL38" s="4"/>
      <c r="AM38" s="26"/>
      <c r="AN38" s="236"/>
      <c r="AO38" s="236"/>
      <c r="AP38" s="26"/>
      <c r="AQ38" s="13"/>
      <c r="BT38" s="26"/>
      <c r="BU38" s="6"/>
      <c r="BV38" s="6"/>
      <c r="BW38" s="6"/>
      <c r="BX38" s="6"/>
      <c r="BY38" s="6"/>
      <c r="BZ38" s="6"/>
    </row>
    <row r="39" spans="1:78" ht="15" customHeight="1" x14ac:dyDescent="0.2">
      <c r="A39" s="1"/>
      <c r="B39" s="796" t="s">
        <v>138</v>
      </c>
      <c r="C39" s="796"/>
      <c r="D39" s="796"/>
      <c r="E39" s="797"/>
      <c r="F39" s="299"/>
      <c r="G39" s="1"/>
      <c r="H39" s="1"/>
      <c r="I39" s="1"/>
      <c r="J39" s="1"/>
      <c r="K39" s="1"/>
      <c r="L39" s="1"/>
      <c r="M39" s="1"/>
      <c r="N39" s="1"/>
      <c r="O39" s="1"/>
      <c r="P39" s="1"/>
      <c r="AE39" s="33"/>
      <c r="AF39" s="7"/>
      <c r="AG39" s="7"/>
      <c r="AH39" s="4"/>
      <c r="AI39" s="4"/>
      <c r="AJ39" s="4"/>
      <c r="AK39" s="4"/>
      <c r="AL39" s="4"/>
      <c r="AM39" s="26"/>
      <c r="AN39" s="236"/>
      <c r="AO39" s="236"/>
      <c r="AP39" s="26"/>
      <c r="AQ39" s="7"/>
      <c r="BD39" s="208" t="s">
        <v>139</v>
      </c>
      <c r="BE39" s="2"/>
      <c r="BF39" s="2"/>
      <c r="BG39" s="209"/>
      <c r="BH39" s="2" t="str">
        <f>IF(K20="","",K20)</f>
        <v>Sample No.</v>
      </c>
      <c r="BI39" s="848" t="str">
        <f>IF(K22&gt;0,K22," ")</f>
        <v xml:space="preserve"> </v>
      </c>
      <c r="BJ39" s="848"/>
      <c r="BK39" s="13"/>
      <c r="BL39" s="873"/>
      <c r="BM39" s="874"/>
      <c r="BN39" s="874"/>
      <c r="BO39" s="875"/>
      <c r="BP39" s="875"/>
      <c r="BQ39" s="7"/>
      <c r="BR39" s="7"/>
      <c r="BS39" s="7"/>
      <c r="BT39" s="26"/>
      <c r="BU39" s="6"/>
      <c r="BV39" s="6"/>
      <c r="BW39" s="6"/>
      <c r="BX39" s="6"/>
      <c r="BY39" s="6"/>
      <c r="BZ39" s="6"/>
    </row>
    <row r="40" spans="1:78" ht="27" customHeight="1" x14ac:dyDescent="0.2">
      <c r="D40" s="513" t="s">
        <v>585</v>
      </c>
      <c r="E40" s="223" t="s">
        <v>140</v>
      </c>
      <c r="F40" s="513" t="s">
        <v>586</v>
      </c>
      <c r="G40" s="991" t="s">
        <v>548</v>
      </c>
      <c r="H40" s="992"/>
      <c r="I40" s="987" t="s">
        <v>141</v>
      </c>
      <c r="J40" s="988"/>
      <c r="AE40" s="33"/>
      <c r="AF40" s="7"/>
      <c r="AG40" s="7"/>
      <c r="AH40" s="4"/>
      <c r="AI40" s="4"/>
      <c r="AJ40" s="4"/>
      <c r="AK40" s="4"/>
      <c r="AL40" s="4"/>
      <c r="AM40" s="26"/>
      <c r="AN40" s="236"/>
      <c r="AO40" s="236"/>
      <c r="AP40" s="26"/>
      <c r="BD40" s="876" t="s">
        <v>142</v>
      </c>
      <c r="BE40" s="876"/>
      <c r="BF40" s="876"/>
      <c r="BG40" s="876"/>
      <c r="BH40" s="876"/>
      <c r="BI40" s="876"/>
      <c r="BJ40" s="876"/>
      <c r="BK40" s="852"/>
      <c r="BL40" s="877" t="s">
        <v>143</v>
      </c>
      <c r="BM40" s="878"/>
      <c r="BN40" s="878"/>
      <c r="BO40" s="878"/>
      <c r="BP40" s="878"/>
      <c r="BQ40" s="878"/>
      <c r="BR40" s="878"/>
      <c r="BS40" s="878"/>
      <c r="BT40" s="26"/>
      <c r="BU40" s="6"/>
      <c r="BV40" s="6"/>
      <c r="BW40" s="6"/>
      <c r="BX40" s="6"/>
      <c r="BY40" s="6"/>
      <c r="BZ40" s="6"/>
    </row>
    <row r="41" spans="1:78" ht="15" customHeight="1" x14ac:dyDescent="0.2">
      <c r="D41" s="370"/>
      <c r="E41" s="371"/>
      <c r="F41" s="370"/>
      <c r="G41" s="295"/>
      <c r="H41" s="353"/>
      <c r="I41" s="989" t="e">
        <f>IF(AND(H36="fulfilled",H37="fulfilled"),ROUNDUP(AX9,0)&amp;" - "&amp;ROUNDUP(AX23,0),"not fulfilled")</f>
        <v>#VALUE!</v>
      </c>
      <c r="J41" s="990"/>
      <c r="AE41" s="33"/>
      <c r="AF41" s="7"/>
      <c r="AG41" s="7"/>
      <c r="AH41" s="4"/>
      <c r="AI41" s="4"/>
      <c r="AJ41" s="4"/>
      <c r="AK41" s="4"/>
      <c r="AL41" s="4"/>
      <c r="AM41" s="6"/>
      <c r="AN41" s="236"/>
      <c r="AO41" s="236"/>
      <c r="AP41" s="6"/>
      <c r="AQ41" s="209"/>
      <c r="BD41" s="841" t="s">
        <v>144</v>
      </c>
      <c r="BE41" s="842"/>
      <c r="BF41" s="843">
        <f>$K$6</f>
        <v>0</v>
      </c>
      <c r="BG41" s="844"/>
      <c r="BH41" s="845" t="s">
        <v>583</v>
      </c>
      <c r="BI41" s="846"/>
      <c r="BJ41" s="836">
        <f>$K$7</f>
        <v>0</v>
      </c>
      <c r="BK41" s="836"/>
      <c r="BL41" s="847" t="s">
        <v>145</v>
      </c>
      <c r="BM41" s="842"/>
      <c r="BN41" s="843">
        <f>$K$6</f>
        <v>0</v>
      </c>
      <c r="BO41" s="844"/>
      <c r="BP41" s="845" t="s">
        <v>583</v>
      </c>
      <c r="BQ41" s="846"/>
      <c r="BR41" s="836">
        <f>$K$7</f>
        <v>0</v>
      </c>
      <c r="BS41" s="837"/>
      <c r="BT41" s="6"/>
      <c r="BU41" s="6"/>
      <c r="BV41" s="6"/>
      <c r="BW41" s="6"/>
      <c r="BX41" s="6"/>
      <c r="BY41" s="6"/>
      <c r="BZ41" s="6"/>
    </row>
    <row r="42" spans="1:78" ht="15" customHeight="1" thickBot="1" x14ac:dyDescent="0.25">
      <c r="C42" s="2" t="s">
        <v>596</v>
      </c>
      <c r="D42" s="313">
        <f>G12</f>
        <v>0</v>
      </c>
      <c r="E42" s="314">
        <f>D42/4</f>
        <v>0</v>
      </c>
      <c r="F42" s="314" t="e">
        <f>BG24</f>
        <v>#VALUE!</v>
      </c>
      <c r="G42" s="993" t="e">
        <f>IF(AND($F$42&lt;=$D$42+$E$42,$F$42&gt;=$D$42-$E$42),"fulfilled","not fulfilled")</f>
        <v>#VALUE!</v>
      </c>
      <c r="H42" s="994"/>
      <c r="I42" s="995" t="e">
        <f>IF(OR(MIN(AY21:AY23)&gt;MIN(BI8:BK11,BI18:BK21),MIN(BA21:BA23)&gt;MIN(BQ8:BS11,BQ18:BS21)),"not fulfilled","fulfilled")</f>
        <v>#VALUE!</v>
      </c>
      <c r="J42" s="996"/>
      <c r="K42" s="372"/>
      <c r="AE42" s="33"/>
      <c r="AF42" s="7"/>
      <c r="AG42" s="7"/>
      <c r="AH42" s="4"/>
      <c r="AI42" s="4"/>
      <c r="AJ42" s="4"/>
      <c r="AK42" s="4"/>
      <c r="AL42" s="4"/>
      <c r="AM42" s="6"/>
      <c r="AN42" s="236"/>
      <c r="AO42" s="236"/>
      <c r="AP42" s="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756" t="s">
        <v>584</v>
      </c>
      <c r="BE42" s="838" t="s">
        <v>630</v>
      </c>
      <c r="BF42" s="839"/>
      <c r="BG42" s="840"/>
      <c r="BH42" s="756" t="s">
        <v>584</v>
      </c>
      <c r="BI42" s="838" t="s">
        <v>630</v>
      </c>
      <c r="BJ42" s="839"/>
      <c r="BK42" s="840"/>
      <c r="BL42" s="757" t="s">
        <v>584</v>
      </c>
      <c r="BM42" s="838" t="s">
        <v>630</v>
      </c>
      <c r="BN42" s="839"/>
      <c r="BO42" s="840"/>
      <c r="BP42" s="756" t="s">
        <v>584</v>
      </c>
      <c r="BQ42" s="838" t="s">
        <v>630</v>
      </c>
      <c r="BR42" s="839"/>
      <c r="BS42" s="840"/>
      <c r="BT42" s="6"/>
      <c r="BU42" s="6"/>
      <c r="BV42" s="6"/>
      <c r="BW42" s="6"/>
      <c r="BX42" s="6"/>
      <c r="BY42" s="6"/>
      <c r="BZ42" s="6"/>
    </row>
    <row r="43" spans="1:78" ht="15" customHeight="1" thickBot="1" x14ac:dyDescent="0.25">
      <c r="C43" s="2" t="s">
        <v>597</v>
      </c>
      <c r="D43" s="55">
        <f>K12</f>
        <v>0</v>
      </c>
      <c r="E43" s="312">
        <f>D43/4</f>
        <v>0</v>
      </c>
      <c r="F43" s="312" t="e">
        <f>BG49</f>
        <v>#VALUE!</v>
      </c>
      <c r="G43" s="993" t="e">
        <f>IF(AND($F$43&lt;=$D$43+$E$43,$F$43&gt;=$D$43-$E$43),"fulfilled","not fulfilled")</f>
        <v>#VALUE!</v>
      </c>
      <c r="H43" s="994"/>
      <c r="I43" s="995" t="e">
        <f>IF(OR(MIN(AY21:AY23)&gt;MIN(BI33:BK36,BI43:BK46),MIN(BA21:BA23)&gt;MIN(BQ33:BS36,BQ43:BS46)),"not fulfilled","fulfilled")</f>
        <v>#VALUE!</v>
      </c>
      <c r="J43" s="996"/>
      <c r="AE43" s="33"/>
      <c r="AF43" s="7"/>
      <c r="AG43" s="7"/>
      <c r="AH43" s="4"/>
      <c r="AI43" s="4"/>
      <c r="AJ43" s="4"/>
      <c r="AK43" s="4"/>
      <c r="AL43" s="4"/>
      <c r="AM43" s="6"/>
      <c r="AN43" s="236"/>
      <c r="AO43" s="236"/>
      <c r="AP43" s="6"/>
      <c r="BD43" s="448"/>
      <c r="BE43" s="833" t="e">
        <f>IF(AU$26=" "," ",IF(BD43=0," ",10^((BD43-$AU$27)/$AU$26)))</f>
        <v>#VALUE!</v>
      </c>
      <c r="BF43" s="834"/>
      <c r="BG43" s="857"/>
      <c r="BH43" s="448"/>
      <c r="BI43" s="833" t="e">
        <f>IF(AZ$26=" "," ",IF(BH43=0," ",10^((BH43-$AZ$27)/$AZ$26)))</f>
        <v>#VALUE!</v>
      </c>
      <c r="BJ43" s="834"/>
      <c r="BK43" s="857"/>
      <c r="BL43" s="448"/>
      <c r="BM43" s="833" t="e">
        <f>IF(AW$26=" "," ",IF(BL43=0," ",10^((BL43-$AW$27)/$AW$26)))</f>
        <v>#VALUE!</v>
      </c>
      <c r="BN43" s="834"/>
      <c r="BO43" s="857"/>
      <c r="BP43" s="448"/>
      <c r="BQ43" s="833" t="e">
        <f>IF(BB$26=" "," ",IF(BP43=0," ",10^((BP43-$BB$27)/$BB$26)))</f>
        <v>#VALUE!</v>
      </c>
      <c r="BR43" s="834"/>
      <c r="BS43" s="835"/>
      <c r="BT43" s="6"/>
      <c r="BU43" s="6"/>
      <c r="BV43" s="6"/>
      <c r="BW43" s="6"/>
      <c r="BX43" s="6"/>
      <c r="BY43" s="6"/>
      <c r="BZ43" s="6"/>
    </row>
    <row r="44" spans="1:78" ht="15" customHeight="1" thickBot="1" x14ac:dyDescent="0.25">
      <c r="AE44" s="33"/>
      <c r="AF44" s="7"/>
      <c r="AG44" s="7"/>
      <c r="AH44" s="4"/>
      <c r="AI44" s="4"/>
      <c r="AJ44" s="4"/>
      <c r="AK44" s="4"/>
      <c r="AL44" s="4"/>
      <c r="AM44" s="6"/>
      <c r="AN44" s="236"/>
      <c r="AO44" s="236"/>
      <c r="AP44" s="6"/>
      <c r="BD44" s="448"/>
      <c r="BE44" s="833" t="e">
        <f>IF(AU$26=" "," ",IF(BD44=0," ",10^((BD44-$AU$27)/$AU$26)))</f>
        <v>#VALUE!</v>
      </c>
      <c r="BF44" s="834"/>
      <c r="BG44" s="857"/>
      <c r="BH44" s="448"/>
      <c r="BI44" s="833" t="e">
        <f>IF(AZ$26=" "," ",IF(BH44=0," ",10^((BH44-$AZ$27)/$AZ$26)))</f>
        <v>#VALUE!</v>
      </c>
      <c r="BJ44" s="834"/>
      <c r="BK44" s="857"/>
      <c r="BL44" s="448"/>
      <c r="BM44" s="833" t="e">
        <f>IF(AW$26=" "," ",IF(BL44=0," ",10^((BL44-$AW$27)/$AW$26)))</f>
        <v>#VALUE!</v>
      </c>
      <c r="BN44" s="834"/>
      <c r="BO44" s="857"/>
      <c r="BP44" s="448"/>
      <c r="BQ44" s="833" t="e">
        <f>IF(BB$26=" "," ",IF(BP44=0," ",10^((BP44-$BB$27)/$BB$26)))</f>
        <v>#VALUE!</v>
      </c>
      <c r="BR44" s="834"/>
      <c r="BS44" s="835"/>
      <c r="BT44" s="6"/>
      <c r="BU44" s="6"/>
      <c r="BV44" s="6"/>
      <c r="BW44" s="6"/>
      <c r="BX44" s="6"/>
      <c r="BY44" s="6"/>
      <c r="BZ44" s="6"/>
    </row>
    <row r="45" spans="1:78" ht="15" customHeight="1" thickBot="1" x14ac:dyDescent="0.3">
      <c r="A45" s="1"/>
      <c r="B45" s="11" t="s">
        <v>146</v>
      </c>
      <c r="C45" s="11"/>
      <c r="D45" s="11"/>
      <c r="E45" s="11"/>
      <c r="F45" s="11"/>
      <c r="G45" s="11"/>
      <c r="H45" s="11" t="s">
        <v>147</v>
      </c>
      <c r="I45" s="1"/>
      <c r="J45" s="1"/>
      <c r="K45" s="1"/>
      <c r="L45" s="1"/>
      <c r="M45" s="1"/>
      <c r="N45" s="1"/>
      <c r="O45" s="1"/>
      <c r="P45" s="1"/>
      <c r="AE45" s="33"/>
      <c r="AF45" s="7"/>
      <c r="AG45" s="7"/>
      <c r="AH45" s="4"/>
      <c r="AI45" s="4"/>
      <c r="AJ45" s="4"/>
      <c r="AK45" s="4"/>
      <c r="AL45" s="4"/>
      <c r="AM45" s="6"/>
      <c r="AN45" s="236"/>
      <c r="AO45" s="236"/>
      <c r="AP45" s="6"/>
      <c r="BD45" s="448"/>
      <c r="BE45" s="833" t="e">
        <f>IF(AU$26=" "," ",IF(BD45=0," ",10^((BD45-$AU$27)/$AU$26)))</f>
        <v>#VALUE!</v>
      </c>
      <c r="BF45" s="834"/>
      <c r="BG45" s="857"/>
      <c r="BH45" s="448"/>
      <c r="BI45" s="833" t="e">
        <f>IF(AZ$26=" "," ",IF(BH45=0," ",10^((BH45-$AZ$27)/$AZ$26)))</f>
        <v>#VALUE!</v>
      </c>
      <c r="BJ45" s="834"/>
      <c r="BK45" s="857"/>
      <c r="BL45" s="448"/>
      <c r="BM45" s="833" t="e">
        <f>IF(AW$26=" "," ",IF(BL45=0," ",10^((BL45-$AW$27)/$AW$26)))</f>
        <v>#VALUE!</v>
      </c>
      <c r="BN45" s="834"/>
      <c r="BO45" s="857"/>
      <c r="BP45" s="448"/>
      <c r="BQ45" s="833" t="e">
        <f>IF(BB$26=" "," ",IF(BP45=0," ",10^((BP45-$BB$27)/$BB$26)))</f>
        <v>#VALUE!</v>
      </c>
      <c r="BR45" s="834"/>
      <c r="BS45" s="835"/>
      <c r="BT45" s="6"/>
      <c r="BU45" s="6"/>
      <c r="BV45" s="6"/>
      <c r="BW45" s="6"/>
      <c r="BX45" s="6"/>
      <c r="BY45" s="6"/>
      <c r="BZ45" s="6"/>
    </row>
    <row r="46" spans="1:78" ht="27.75" customHeight="1" thickBot="1" x14ac:dyDescent="0.3">
      <c r="D46" s="295" t="s">
        <v>148</v>
      </c>
      <c r="E46" s="513" t="s">
        <v>672</v>
      </c>
      <c r="F46" s="284"/>
      <c r="H46" s="997" t="s">
        <v>541</v>
      </c>
      <c r="I46" s="998"/>
      <c r="J46" s="661" t="s">
        <v>149</v>
      </c>
      <c r="K46" s="649" t="s">
        <v>150</v>
      </c>
      <c r="L46" s="649" t="s">
        <v>151</v>
      </c>
      <c r="M46" s="513" t="s">
        <v>152</v>
      </c>
      <c r="N46" s="973" t="s">
        <v>605</v>
      </c>
      <c r="O46" s="974"/>
      <c r="P46" s="975"/>
      <c r="AE46" s="33"/>
      <c r="AF46" s="7"/>
      <c r="AG46" s="7"/>
      <c r="AH46" s="4"/>
      <c r="AI46" s="4"/>
      <c r="AJ46" s="4"/>
      <c r="AK46" s="4"/>
      <c r="AL46" s="4"/>
      <c r="AM46" s="6"/>
      <c r="AN46" s="236"/>
      <c r="AO46" s="236"/>
      <c r="AP46" s="6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448"/>
      <c r="BE46" s="833" t="e">
        <f>IF(AU$26=" "," ",IF(BD46=0," ",10^((BD46-$AU$27)/$AU$26)))</f>
        <v>#VALUE!</v>
      </c>
      <c r="BF46" s="834"/>
      <c r="BG46" s="857"/>
      <c r="BH46" s="448"/>
      <c r="BI46" s="833" t="e">
        <f>IF(AZ$26=" "," ",IF(BH46=0," ",10^((BH46-$AZ$27)/$AZ$26)))</f>
        <v>#VALUE!</v>
      </c>
      <c r="BJ46" s="834"/>
      <c r="BK46" s="857"/>
      <c r="BL46" s="448"/>
      <c r="BM46" s="833" t="e">
        <f>IF(AW$26=" "," ",IF(BL46=0," ",10^((BL46-$AW$27)/$AW$26)))</f>
        <v>#VALUE!</v>
      </c>
      <c r="BN46" s="834"/>
      <c r="BO46" s="857"/>
      <c r="BP46" s="448"/>
      <c r="BQ46" s="833" t="e">
        <f>IF(BB$26=" "," ",IF(BP46=0," ",10^((BP46-$BB$27)/$BB$26)))</f>
        <v>#VALUE!</v>
      </c>
      <c r="BR46" s="834"/>
      <c r="BS46" s="835"/>
      <c r="BT46" s="6"/>
      <c r="BU46" s="6"/>
      <c r="BV46" s="6"/>
      <c r="BW46" s="6"/>
      <c r="BX46" s="6"/>
      <c r="BY46" s="6"/>
      <c r="BZ46" s="6"/>
    </row>
    <row r="47" spans="1:78" ht="15" customHeight="1" thickBot="1" x14ac:dyDescent="0.3">
      <c r="C47" s="2" t="s">
        <v>596</v>
      </c>
      <c r="D47" s="349" t="e">
        <f>BO24</f>
        <v>#VALUE!</v>
      </c>
      <c r="E47" s="221" t="e">
        <f>IF(D47&lt;=25%,"fulfilled","not fulfilled")</f>
        <v>#VALUE!</v>
      </c>
      <c r="F47" s="284"/>
      <c r="H47" s="801"/>
      <c r="I47" s="802"/>
      <c r="J47" s="658"/>
      <c r="K47" s="659"/>
      <c r="L47" s="705"/>
      <c r="M47" s="684"/>
      <c r="N47" s="691"/>
      <c r="O47" s="691"/>
      <c r="P47" s="690"/>
      <c r="AE47" s="33"/>
      <c r="AF47" s="7"/>
      <c r="AG47" s="7"/>
      <c r="AH47" s="4"/>
      <c r="AI47" s="4"/>
      <c r="AJ47" s="4"/>
      <c r="AK47" s="4"/>
      <c r="AL47" s="4"/>
      <c r="AM47" s="6"/>
      <c r="AN47" s="236"/>
      <c r="AO47" s="236"/>
      <c r="AP47" s="6"/>
      <c r="AQ47" s="209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858" t="s">
        <v>153</v>
      </c>
      <c r="BE47" s="859"/>
      <c r="BF47" s="859"/>
      <c r="BG47" s="860" t="e">
        <f>(AVERAGE(BI43:BK46)/AVERAGE(BE43:BG46))+(((AVERAGE(BI43:BK46)/(AVERAGE(BE43:BG46)^3))*(VAR(BE43:BG46))))</f>
        <v>#VALUE!</v>
      </c>
      <c r="BH47" s="861"/>
      <c r="BI47" s="127" t="s">
        <v>154</v>
      </c>
      <c r="BJ47" s="862" t="e">
        <f>SQRT(((VAR(BI43:BK46)/(AVERAGE(BI43:BK46)^2))+(VAR(BE43:BG46)/(AVERAGE(BE43:BG46)^2)))*((AVERAGE(BI43:BK46)/AVERAGE(BE43:BG46))^2))</f>
        <v>#VALUE!</v>
      </c>
      <c r="BK47" s="869"/>
      <c r="BL47" s="858" t="s">
        <v>155</v>
      </c>
      <c r="BM47" s="859"/>
      <c r="BN47" s="859"/>
      <c r="BO47" s="860" t="e">
        <f>(AVERAGE(BQ43:BS46)/AVERAGE(BM43:BO46))+(((AVERAGE(BQ43:BS46)/(AVERAGE(BM43:BO46)^3))*(VAR(BM43:BO46))))</f>
        <v>#VALUE!</v>
      </c>
      <c r="BP47" s="861"/>
      <c r="BQ47" s="127" t="s">
        <v>156</v>
      </c>
      <c r="BR47" s="862" t="e">
        <f>SQRT(((VAR(BQ43:BS46)/(AVERAGE(BQ43:BS46)^2))+(VAR(BM43:BO46)/(AVERAGE(BM43:BO46)^2)))*((AVERAGE(BQ43:BS46)/AVERAGE(BM43:BO46))^2))</f>
        <v>#VALUE!</v>
      </c>
      <c r="BS47" s="862"/>
      <c r="BT47" s="6"/>
      <c r="BU47" s="6"/>
      <c r="BV47" s="6"/>
      <c r="BW47" s="6"/>
      <c r="BX47" s="6"/>
      <c r="BY47" s="6"/>
      <c r="BZ47" s="6"/>
    </row>
    <row r="48" spans="1:78" ht="15" customHeight="1" thickBot="1" x14ac:dyDescent="0.25">
      <c r="C48" s="2" t="s">
        <v>597</v>
      </c>
      <c r="D48" s="349" t="e">
        <f>BO49</f>
        <v>#VALUE!</v>
      </c>
      <c r="E48" s="220" t="e">
        <f>IF(D48&lt;=25%,"fulfilled","not fulfilled")</f>
        <v>#VALUE!</v>
      </c>
      <c r="F48" s="284"/>
      <c r="H48" s="801"/>
      <c r="I48" s="802"/>
      <c r="J48" s="658"/>
      <c r="K48" s="659"/>
      <c r="L48" s="705"/>
      <c r="M48" s="684"/>
      <c r="N48" s="691"/>
      <c r="O48" s="691"/>
      <c r="P48" s="690"/>
      <c r="AE48" s="33"/>
      <c r="AF48" s="7"/>
      <c r="AG48" s="7"/>
      <c r="AH48" s="4"/>
      <c r="AI48" s="4"/>
      <c r="AJ48" s="4"/>
      <c r="AK48" s="4"/>
      <c r="AL48" s="4"/>
      <c r="AM48" s="6"/>
      <c r="AN48" s="236"/>
      <c r="AO48" s="236"/>
      <c r="AP48" s="6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T48" s="6"/>
      <c r="BU48" s="6"/>
      <c r="BV48" s="6"/>
      <c r="BW48" s="6"/>
      <c r="BX48" s="6"/>
      <c r="BY48" s="6"/>
      <c r="BZ48" s="6"/>
    </row>
    <row r="49" spans="1:78" ht="15" customHeight="1" thickBot="1" x14ac:dyDescent="0.3">
      <c r="A49" s="1"/>
      <c r="B49" s="986" t="s">
        <v>157</v>
      </c>
      <c r="C49" s="986"/>
      <c r="D49" s="972"/>
      <c r="E49" s="972"/>
      <c r="F49" s="1"/>
      <c r="G49" s="1"/>
      <c r="H49" s="801"/>
      <c r="I49" s="802"/>
      <c r="J49" s="658"/>
      <c r="K49" s="660"/>
      <c r="L49" s="706"/>
      <c r="M49" s="684"/>
      <c r="N49" s="692"/>
      <c r="O49" s="692"/>
      <c r="P49" s="423"/>
      <c r="AE49" s="20"/>
      <c r="AF49" s="7"/>
      <c r="AG49" s="7"/>
      <c r="AH49" s="4"/>
      <c r="AI49" s="4"/>
      <c r="AJ49" s="4"/>
      <c r="AK49" s="4"/>
      <c r="AL49" s="4"/>
      <c r="AM49" s="6"/>
      <c r="AN49" s="236"/>
      <c r="AO49" s="236"/>
      <c r="AP49" s="6"/>
      <c r="BD49" s="867" t="s">
        <v>158</v>
      </c>
      <c r="BE49" s="868"/>
      <c r="BF49" s="868"/>
      <c r="BG49" s="864" t="e">
        <f>(BG37+BO37+BG47+BO47)/4</f>
        <v>#VALUE!</v>
      </c>
      <c r="BH49" s="865"/>
      <c r="BI49" s="224"/>
      <c r="BJ49" s="225" t="s">
        <v>159</v>
      </c>
      <c r="BK49" s="870" t="e">
        <f>SQRT(((3*BJ37^2)+(3*BR37^2)+(3*BJ47^2)+(3*BR47^2))/12)</f>
        <v>#VALUE!</v>
      </c>
      <c r="BL49" s="871"/>
      <c r="BM49" s="224"/>
      <c r="BN49" s="226" t="s">
        <v>160</v>
      </c>
      <c r="BO49" s="864" t="e">
        <f>(BK49/BG49)</f>
        <v>#VALUE!</v>
      </c>
      <c r="BP49" s="865"/>
      <c r="BQ49" s="224"/>
      <c r="BR49" s="224"/>
      <c r="BS49" s="227"/>
      <c r="BT49" s="6"/>
      <c r="BU49" s="6"/>
      <c r="BV49" s="6"/>
      <c r="BW49" s="6"/>
      <c r="BX49" s="6"/>
      <c r="BY49" s="6"/>
      <c r="BZ49" s="6"/>
    </row>
    <row r="50" spans="1:78" s="209" customFormat="1" ht="15" customHeight="1" thickBot="1" x14ac:dyDescent="0.25">
      <c r="B50" s="412"/>
      <c r="C50" s="412"/>
      <c r="D50" s="7"/>
      <c r="E50" s="416" t="str">
        <f>IF(AD17="serial dilution is not plausible","serial dilution is not plausible","")</f>
        <v/>
      </c>
      <c r="H50" s="801"/>
      <c r="I50" s="802"/>
      <c r="J50" s="658"/>
      <c r="K50" s="660"/>
      <c r="L50" s="706"/>
      <c r="M50" s="703"/>
      <c r="N50" s="692"/>
      <c r="O50" s="692"/>
      <c r="P50" s="423"/>
      <c r="AE50" s="20"/>
      <c r="AF50" s="7"/>
      <c r="AG50" s="7"/>
      <c r="AH50" s="413"/>
      <c r="AI50" s="413"/>
      <c r="AJ50" s="413"/>
      <c r="AK50" s="413"/>
      <c r="AL50" s="413"/>
      <c r="AM50" s="414"/>
      <c r="AN50" s="415"/>
      <c r="AO50" s="415"/>
      <c r="AP50" s="414"/>
      <c r="BD50" s="2"/>
      <c r="BE50" s="2"/>
      <c r="BF50" s="2"/>
      <c r="BG50" s="407"/>
      <c r="BH50" s="408"/>
      <c r="BI50" s="7"/>
      <c r="BJ50" s="406"/>
      <c r="BK50" s="409"/>
      <c r="BL50" s="410"/>
      <c r="BM50" s="7"/>
      <c r="BN50" s="411"/>
      <c r="BO50" s="407"/>
      <c r="BP50" s="408"/>
      <c r="BQ50" s="7"/>
      <c r="BR50" s="7"/>
      <c r="BS50" s="7"/>
      <c r="BT50" s="414"/>
      <c r="BU50" s="414"/>
      <c r="BV50" s="414"/>
      <c r="BW50" s="414"/>
      <c r="BX50" s="414"/>
      <c r="BY50" s="414"/>
      <c r="BZ50" s="414"/>
    </row>
    <row r="51" spans="1:78" ht="15" customHeight="1" thickBot="1" x14ac:dyDescent="0.3">
      <c r="C51" s="295" t="s">
        <v>161</v>
      </c>
      <c r="D51" s="59" t="str">
        <f>IF(E50="",AC19,"not valid")</f>
        <v>-</v>
      </c>
      <c r="E51" s="36" t="str">
        <f>IF(D51="-","Cannot be determined for dilution levels D-H","")</f>
        <v>Cannot be determined for dilution levels D-H</v>
      </c>
      <c r="H51" s="801"/>
      <c r="I51" s="802"/>
      <c r="J51" s="658"/>
      <c r="K51" s="659"/>
      <c r="L51" s="705"/>
      <c r="M51" s="684"/>
      <c r="N51" s="693"/>
      <c r="O51" s="693"/>
      <c r="P51" s="694"/>
      <c r="AH51" s="4"/>
      <c r="AI51" s="4"/>
      <c r="AJ51" s="4"/>
      <c r="AK51" s="4"/>
      <c r="AL51" s="4"/>
      <c r="AM51" s="4"/>
      <c r="AN51" s="236"/>
      <c r="AO51" s="236"/>
      <c r="AP51" s="4"/>
      <c r="AQ51" s="57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T51" s="4"/>
      <c r="BU51" s="4"/>
      <c r="BV51" s="4"/>
      <c r="BW51" s="4"/>
      <c r="BX51" s="4"/>
      <c r="BY51" s="4"/>
      <c r="BZ51" s="4"/>
    </row>
    <row r="52" spans="1:78" s="1" customFormat="1" ht="15" customHeight="1" thickBot="1" x14ac:dyDescent="0.3">
      <c r="A52" s="3"/>
      <c r="B52" s="3"/>
      <c r="C52" s="295" t="s">
        <v>162</v>
      </c>
      <c r="D52" s="59" t="str">
        <f>IF(E50="",AC34,"not valid")</f>
        <v>-</v>
      </c>
      <c r="E52" s="36" t="str">
        <f>IF(D52="-","Cannot be determined for dilution levels D-H","")</f>
        <v>Cannot be determined for dilution levels D-H</v>
      </c>
      <c r="F52" s="520"/>
      <c r="G52" s="209"/>
      <c r="H52" s="801"/>
      <c r="I52" s="802"/>
      <c r="J52" s="658"/>
      <c r="K52" s="659"/>
      <c r="L52" s="705"/>
      <c r="M52" s="684"/>
      <c r="N52" s="691"/>
      <c r="O52" s="691"/>
      <c r="P52" s="690"/>
      <c r="Q52" s="209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209"/>
      <c r="AF52" s="209"/>
      <c r="AG52" s="209"/>
      <c r="AN52" s="236"/>
      <c r="AO52" s="236"/>
      <c r="AQ52" s="7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</row>
    <row r="53" spans="1:78" s="1" customFormat="1" ht="17.25" customHeight="1" thickBot="1" x14ac:dyDescent="0.25">
      <c r="A53" s="520"/>
      <c r="B53" s="520"/>
      <c r="C53" s="209"/>
      <c r="D53" s="209"/>
      <c r="E53" s="209"/>
      <c r="F53" s="520"/>
      <c r="G53" s="209"/>
      <c r="H53" s="803"/>
      <c r="I53" s="804"/>
      <c r="J53" s="683"/>
      <c r="K53" s="689"/>
      <c r="L53" s="706"/>
      <c r="M53" s="684"/>
      <c r="N53" s="695"/>
      <c r="O53" s="695"/>
      <c r="P53" s="696"/>
      <c r="Q53" s="209"/>
      <c r="R53" s="506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507"/>
      <c r="AE53" s="209"/>
      <c r="AF53" s="209"/>
      <c r="AG53" s="209"/>
      <c r="AN53" s="236"/>
      <c r="AO53" s="236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</row>
    <row r="54" spans="1:78" s="1" customFormat="1" ht="44.25" customHeight="1" x14ac:dyDescent="0.2">
      <c r="E54" s="110"/>
      <c r="G54" s="280"/>
      <c r="H54" s="685"/>
      <c r="I54" s="686" t="s">
        <v>626</v>
      </c>
      <c r="J54" s="687"/>
      <c r="K54" s="687"/>
      <c r="L54" s="704" t="s">
        <v>163</v>
      </c>
      <c r="M54" s="688"/>
      <c r="N54" s="688"/>
      <c r="O54" s="688"/>
      <c r="P54" s="688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1"/>
      <c r="AN54" s="236"/>
      <c r="AO54" s="236"/>
      <c r="AS54" s="872"/>
      <c r="AT54" s="866"/>
      <c r="AU54" s="866"/>
      <c r="AV54" s="866"/>
      <c r="AW54" s="866"/>
      <c r="BL54" s="113"/>
    </row>
    <row r="55" spans="1:78" s="1" customFormat="1" ht="15" customHeight="1" x14ac:dyDescent="0.2">
      <c r="G55" s="290"/>
      <c r="H55" s="387" t="s">
        <v>164</v>
      </c>
      <c r="I55" s="490">
        <v>2.3299999999999996</v>
      </c>
      <c r="L55" s="487">
        <v>1</v>
      </c>
      <c r="M55" s="111"/>
      <c r="N55" s="111"/>
      <c r="O55" s="111"/>
      <c r="P55" s="111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1"/>
      <c r="AE55" s="863"/>
      <c r="AF55" s="863"/>
      <c r="AG55" s="281"/>
      <c r="AN55" s="236"/>
      <c r="AO55" s="236"/>
      <c r="AS55" s="872"/>
      <c r="AT55" s="866"/>
      <c r="AU55" s="866"/>
      <c r="AV55" s="866"/>
      <c r="AW55" s="866"/>
      <c r="BL55" s="113"/>
    </row>
    <row r="56" spans="1:78" s="1" customFormat="1" ht="15" customHeight="1" x14ac:dyDescent="0.2">
      <c r="G56" s="291"/>
      <c r="H56" s="387" t="s">
        <v>165</v>
      </c>
      <c r="I56" s="490">
        <v>1.7999999999999998</v>
      </c>
      <c r="L56" s="487">
        <v>0.5</v>
      </c>
      <c r="M56" s="111"/>
      <c r="N56" s="111"/>
      <c r="O56" s="111"/>
      <c r="P56" s="111"/>
      <c r="AN56" s="236"/>
      <c r="AO56" s="236"/>
      <c r="AS56" s="872"/>
      <c r="AT56" s="866"/>
      <c r="AU56" s="866"/>
      <c r="AV56" s="866"/>
      <c r="AW56" s="866"/>
      <c r="BL56" s="113"/>
    </row>
    <row r="57" spans="1:78" s="1" customFormat="1" ht="15" customHeight="1" x14ac:dyDescent="0.2">
      <c r="G57" s="291"/>
      <c r="H57" s="387" t="s">
        <v>166</v>
      </c>
      <c r="I57" s="490">
        <v>0.7</v>
      </c>
      <c r="L57" s="487">
        <v>0.33333333333333331</v>
      </c>
      <c r="M57" s="108"/>
      <c r="N57" s="108"/>
      <c r="O57" s="108"/>
      <c r="P57" s="108"/>
      <c r="AN57" s="236"/>
      <c r="AO57" s="236"/>
      <c r="AS57" s="872"/>
      <c r="AT57" s="866"/>
      <c r="AU57" s="866"/>
      <c r="AV57" s="866"/>
      <c r="AW57" s="866"/>
    </row>
    <row r="58" spans="1:78" s="1" customFormat="1" ht="15" customHeight="1" x14ac:dyDescent="0.2">
      <c r="G58" s="291"/>
      <c r="H58" s="387" t="s">
        <v>167</v>
      </c>
      <c r="I58" s="490">
        <v>2.5999999999999996</v>
      </c>
      <c r="L58" s="487">
        <v>0.25</v>
      </c>
      <c r="M58" s="111"/>
      <c r="N58" s="111"/>
      <c r="O58" s="111"/>
      <c r="P58" s="111"/>
      <c r="S58" s="114"/>
      <c r="AN58" s="236"/>
      <c r="AO58" s="236"/>
    </row>
    <row r="59" spans="1:78" s="1" customFormat="1" ht="15" customHeight="1" x14ac:dyDescent="0.2">
      <c r="G59" s="291"/>
      <c r="H59" s="387" t="s">
        <v>168</v>
      </c>
      <c r="I59" s="490">
        <v>1.23</v>
      </c>
      <c r="L59" s="487">
        <v>0.19999999999999998</v>
      </c>
      <c r="M59" s="111"/>
      <c r="N59" s="111"/>
      <c r="O59" s="111"/>
      <c r="P59" s="111"/>
      <c r="S59" s="114"/>
      <c r="AN59" s="236"/>
      <c r="AO59" s="236"/>
    </row>
    <row r="60" spans="1:78" s="1" customFormat="1" ht="15" customHeight="1" x14ac:dyDescent="0.2">
      <c r="G60" s="291"/>
      <c r="H60" s="387" t="s">
        <v>169</v>
      </c>
      <c r="I60" s="490">
        <v>1.1499999999999999</v>
      </c>
      <c r="L60" s="487">
        <v>0.16666666666666666</v>
      </c>
      <c r="M60" s="108"/>
      <c r="N60" s="108"/>
      <c r="O60" s="108"/>
      <c r="P60" s="108"/>
      <c r="S60" s="114"/>
      <c r="AN60" s="236"/>
      <c r="AO60" s="236"/>
      <c r="BP60" s="112"/>
      <c r="BQ60" s="112"/>
    </row>
    <row r="61" spans="1:78" s="1" customFormat="1" ht="15" customHeight="1" x14ac:dyDescent="0.2">
      <c r="G61" s="291"/>
      <c r="H61" s="387" t="s">
        <v>170</v>
      </c>
      <c r="I61" s="490">
        <v>0.99</v>
      </c>
      <c r="L61" s="487">
        <v>0.14285714285714285</v>
      </c>
      <c r="M61" s="111"/>
      <c r="N61" s="111"/>
      <c r="O61" s="111"/>
      <c r="P61" s="111"/>
      <c r="S61" s="114"/>
      <c r="AN61" s="236"/>
      <c r="AO61" s="236"/>
      <c r="BQ61" s="112"/>
    </row>
    <row r="62" spans="1:78" s="1" customFormat="1" ht="15" customHeight="1" x14ac:dyDescent="0.2">
      <c r="D62" s="109"/>
      <c r="G62" s="291"/>
      <c r="H62" s="741" t="s">
        <v>550</v>
      </c>
      <c r="I62" s="490">
        <v>1.25</v>
      </c>
      <c r="L62" s="487">
        <v>0.125</v>
      </c>
      <c r="M62" s="111"/>
      <c r="N62" s="111"/>
      <c r="O62" s="111"/>
      <c r="P62" s="111"/>
      <c r="S62" s="114"/>
      <c r="AN62" s="236"/>
      <c r="AO62" s="236"/>
      <c r="BQ62" s="112"/>
    </row>
    <row r="63" spans="1:78" s="1" customFormat="1" ht="15" customHeight="1" x14ac:dyDescent="0.2">
      <c r="D63" s="109"/>
      <c r="G63" s="291"/>
      <c r="H63" s="388" t="s">
        <v>171</v>
      </c>
      <c r="I63" s="389"/>
      <c r="L63" s="487"/>
      <c r="M63" s="108"/>
      <c r="N63" s="108"/>
      <c r="O63" s="108"/>
      <c r="P63" s="108"/>
      <c r="S63" s="114"/>
      <c r="AN63" s="236"/>
      <c r="BQ63" s="112"/>
    </row>
    <row r="64" spans="1:78" s="1" customFormat="1" ht="15" customHeight="1" x14ac:dyDescent="0.2">
      <c r="D64" s="109"/>
      <c r="G64" s="200"/>
      <c r="H64" s="388" t="s">
        <v>172</v>
      </c>
      <c r="I64" s="389"/>
      <c r="L64" s="488"/>
      <c r="M64" s="111"/>
      <c r="N64" s="109"/>
      <c r="O64" s="109"/>
      <c r="P64" s="109"/>
      <c r="S64" s="114"/>
      <c r="BQ64" s="112"/>
    </row>
    <row r="65" spans="2:69" s="1" customFormat="1" ht="15" customHeight="1" x14ac:dyDescent="0.2">
      <c r="D65" s="109"/>
      <c r="G65" s="200"/>
      <c r="H65" s="388" t="s">
        <v>173</v>
      </c>
      <c r="I65" s="389"/>
      <c r="L65" s="488"/>
      <c r="M65" s="111"/>
      <c r="N65" s="109"/>
      <c r="O65" s="109"/>
      <c r="P65" s="109"/>
      <c r="S65" s="114"/>
      <c r="BQ65" s="112"/>
    </row>
    <row r="66" spans="2:69" s="1" customFormat="1" ht="15" customHeight="1" thickBot="1" x14ac:dyDescent="0.25">
      <c r="D66" s="109"/>
      <c r="G66" s="200"/>
      <c r="H66" s="388" t="s">
        <v>174</v>
      </c>
      <c r="I66" s="389"/>
      <c r="L66" s="489"/>
      <c r="M66" s="108"/>
      <c r="N66" s="108"/>
      <c r="O66" s="108"/>
      <c r="P66" s="108"/>
      <c r="BQ66" s="112"/>
    </row>
    <row r="67" spans="2:69" s="1" customFormat="1" ht="15" customHeight="1" thickTop="1" x14ac:dyDescent="0.2">
      <c r="D67" s="109"/>
      <c r="G67" s="200"/>
      <c r="H67" s="388" t="s">
        <v>175</v>
      </c>
      <c r="I67" s="389"/>
      <c r="J67" s="469"/>
      <c r="K67" s="201"/>
      <c r="L67" s="109"/>
      <c r="M67" s="109"/>
      <c r="N67" s="109"/>
      <c r="O67" s="109"/>
      <c r="P67" s="109"/>
      <c r="BE67" s="112"/>
      <c r="BF67" s="112"/>
      <c r="BG67" s="109"/>
      <c r="BQ67" s="112"/>
    </row>
    <row r="68" spans="2:69" s="1" customFormat="1" ht="15" customHeight="1" x14ac:dyDescent="0.2">
      <c r="D68" s="109"/>
      <c r="G68" s="200"/>
      <c r="H68" s="388" t="s">
        <v>176</v>
      </c>
      <c r="I68" s="389"/>
      <c r="J68" s="469"/>
      <c r="K68" s="201"/>
      <c r="L68" s="109"/>
      <c r="M68" s="109"/>
      <c r="N68" s="109"/>
      <c r="O68" s="109"/>
      <c r="P68" s="109"/>
      <c r="BE68" s="112"/>
      <c r="BF68" s="112"/>
      <c r="BG68" s="109"/>
      <c r="BQ68" s="112"/>
    </row>
    <row r="69" spans="2:69" s="1" customFormat="1" ht="15" customHeight="1" x14ac:dyDescent="0.2">
      <c r="D69" s="109"/>
      <c r="G69" s="200"/>
      <c r="H69" s="388" t="s">
        <v>177</v>
      </c>
      <c r="I69" s="389"/>
      <c r="J69" s="469"/>
      <c r="K69" s="201"/>
      <c r="L69" s="108"/>
      <c r="M69" s="108"/>
      <c r="N69" s="108"/>
      <c r="O69" s="108"/>
      <c r="P69" s="108"/>
    </row>
    <row r="70" spans="2:69" s="1" customFormat="1" ht="15" customHeight="1" x14ac:dyDescent="0.2">
      <c r="D70" s="109"/>
      <c r="G70" s="200"/>
      <c r="H70" s="388" t="s">
        <v>178</v>
      </c>
      <c r="I70" s="389"/>
      <c r="J70" s="469"/>
      <c r="K70" s="201"/>
      <c r="L70" s="109"/>
      <c r="M70" s="109"/>
      <c r="N70" s="109"/>
      <c r="O70" s="109"/>
      <c r="P70" s="109"/>
    </row>
    <row r="71" spans="2:69" s="1" customFormat="1" ht="15" customHeight="1" x14ac:dyDescent="0.2">
      <c r="D71" s="109"/>
      <c r="G71" s="200"/>
      <c r="H71" s="388" t="s">
        <v>179</v>
      </c>
      <c r="I71" s="389"/>
      <c r="J71" s="469"/>
      <c r="K71" s="201"/>
      <c r="L71" s="109"/>
      <c r="M71" s="109"/>
      <c r="N71" s="109"/>
      <c r="O71" s="109"/>
      <c r="P71" s="109"/>
    </row>
    <row r="72" spans="2:69" s="1" customFormat="1" ht="15" customHeight="1" x14ac:dyDescent="0.2">
      <c r="D72" s="109"/>
      <c r="G72" s="200"/>
      <c r="H72" s="388" t="s">
        <v>180</v>
      </c>
      <c r="I72" s="389"/>
      <c r="J72" s="469"/>
      <c r="K72" s="201"/>
      <c r="L72" s="108"/>
      <c r="M72" s="108"/>
      <c r="N72" s="108"/>
      <c r="O72" s="108"/>
      <c r="P72" s="108"/>
    </row>
    <row r="73" spans="2:69" s="1" customFormat="1" ht="15" customHeight="1" x14ac:dyDescent="0.2">
      <c r="D73" s="109"/>
      <c r="G73" s="200"/>
      <c r="H73" s="388" t="s">
        <v>181</v>
      </c>
      <c r="I73" s="389"/>
      <c r="J73" s="469"/>
      <c r="K73" s="201"/>
      <c r="L73" s="109"/>
      <c r="M73" s="109"/>
      <c r="N73" s="109"/>
      <c r="O73" s="109"/>
      <c r="P73" s="109"/>
    </row>
    <row r="74" spans="2:69" s="1" customFormat="1" ht="15" customHeight="1" x14ac:dyDescent="0.2">
      <c r="G74" s="200"/>
      <c r="H74" s="388" t="s">
        <v>182</v>
      </c>
      <c r="I74" s="389"/>
      <c r="J74" s="469"/>
      <c r="K74" s="201"/>
      <c r="L74" s="109"/>
      <c r="M74" s="109"/>
      <c r="N74" s="109"/>
      <c r="O74" s="109"/>
      <c r="P74" s="109"/>
    </row>
    <row r="75" spans="2:69" s="1" customFormat="1" ht="15" customHeight="1" thickBot="1" x14ac:dyDescent="0.25">
      <c r="B75" s="109"/>
      <c r="C75" s="109"/>
      <c r="G75" s="200"/>
      <c r="H75" s="390" t="s">
        <v>183</v>
      </c>
      <c r="I75" s="391"/>
      <c r="J75" s="469"/>
      <c r="K75" s="201"/>
      <c r="L75" s="108"/>
      <c r="M75" s="108"/>
      <c r="N75" s="108"/>
      <c r="O75" s="108"/>
      <c r="P75" s="108"/>
    </row>
    <row r="76" spans="2:69" s="1" customFormat="1" ht="15" customHeight="1" thickTop="1" x14ac:dyDescent="0.2">
      <c r="B76" s="109"/>
      <c r="C76" s="109"/>
      <c r="G76" s="200"/>
      <c r="H76" s="201"/>
      <c r="I76" s="201"/>
      <c r="J76" s="202"/>
      <c r="K76" s="201"/>
      <c r="L76" s="109"/>
      <c r="M76" s="109"/>
      <c r="N76" s="109"/>
      <c r="O76" s="109"/>
      <c r="P76" s="109"/>
    </row>
    <row r="77" spans="2:69" s="1" customFormat="1" ht="15" customHeight="1" x14ac:dyDescent="0.2">
      <c r="G77" s="200"/>
      <c r="H77" s="201"/>
      <c r="I77" s="201"/>
      <c r="J77" s="202"/>
      <c r="K77" s="201"/>
      <c r="L77" s="109"/>
      <c r="M77" s="109"/>
      <c r="N77" s="109"/>
      <c r="O77" s="109"/>
      <c r="P77" s="109"/>
    </row>
    <row r="78" spans="2:69" s="1" customFormat="1" ht="15" customHeight="1" x14ac:dyDescent="0.2">
      <c r="G78" s="200"/>
      <c r="H78" s="201"/>
      <c r="I78" s="201"/>
      <c r="J78" s="202"/>
      <c r="K78" s="201"/>
      <c r="L78" s="108"/>
      <c r="M78" s="108"/>
      <c r="N78" s="108"/>
      <c r="O78" s="108"/>
      <c r="P78" s="108"/>
    </row>
    <row r="79" spans="2:69" s="1" customFormat="1" ht="15" customHeight="1" x14ac:dyDescent="0.2">
      <c r="C79" s="110"/>
      <c r="G79" s="200"/>
      <c r="H79" s="201"/>
      <c r="I79" s="201"/>
      <c r="J79" s="202"/>
      <c r="K79" s="201"/>
      <c r="L79" s="109"/>
      <c r="M79" s="109"/>
      <c r="N79" s="108"/>
      <c r="O79" s="108"/>
      <c r="P79" s="108"/>
    </row>
    <row r="80" spans="2:69" s="1" customFormat="1" ht="15" customHeight="1" x14ac:dyDescent="0.2">
      <c r="C80" s="110"/>
      <c r="G80" s="200"/>
      <c r="H80" s="201"/>
      <c r="I80" s="201"/>
      <c r="J80" s="202"/>
      <c r="K80" s="201"/>
      <c r="L80" s="109"/>
      <c r="M80" s="109"/>
      <c r="N80" s="108"/>
      <c r="O80" s="108"/>
      <c r="P80" s="108"/>
    </row>
    <row r="81" spans="3:71" s="1" customFormat="1" ht="15" customHeight="1" x14ac:dyDescent="0.2">
      <c r="C81" s="110"/>
      <c r="G81" s="200"/>
      <c r="H81" s="201"/>
      <c r="I81" s="201"/>
      <c r="J81" s="202"/>
      <c r="K81" s="201"/>
      <c r="L81" s="108"/>
      <c r="M81" s="108"/>
    </row>
    <row r="82" spans="3:71" s="1" customFormat="1" x14ac:dyDescent="0.2">
      <c r="C82" s="110"/>
      <c r="G82" s="200"/>
      <c r="H82" s="201"/>
      <c r="I82" s="201"/>
      <c r="J82" s="202"/>
      <c r="K82" s="201"/>
      <c r="L82" s="108"/>
      <c r="M82" s="108"/>
    </row>
    <row r="83" spans="3:71" s="1" customFormat="1" x14ac:dyDescent="0.2">
      <c r="C83" s="110"/>
      <c r="G83" s="200"/>
      <c r="H83" s="201"/>
      <c r="I83" s="201"/>
      <c r="J83" s="202"/>
      <c r="K83" s="201"/>
      <c r="L83" s="108"/>
      <c r="M83" s="108"/>
    </row>
    <row r="84" spans="3:71" s="1" customFormat="1" x14ac:dyDescent="0.2">
      <c r="C84" s="110"/>
      <c r="G84" s="200"/>
      <c r="H84" s="201"/>
      <c r="I84" s="201"/>
      <c r="J84" s="202"/>
      <c r="K84" s="201"/>
    </row>
    <row r="85" spans="3:71" s="1" customFormat="1" x14ac:dyDescent="0.2">
      <c r="C85" s="110"/>
      <c r="G85" s="200"/>
      <c r="H85" s="201"/>
      <c r="I85" s="201"/>
      <c r="J85" s="202"/>
      <c r="K85" s="201"/>
    </row>
    <row r="86" spans="3:71" s="1" customFormat="1" x14ac:dyDescent="0.2">
      <c r="C86" s="110"/>
      <c r="G86" s="200"/>
      <c r="H86" s="201"/>
      <c r="I86" s="201"/>
      <c r="J86" s="202"/>
      <c r="K86" s="201"/>
    </row>
    <row r="87" spans="3:71" s="1" customFormat="1" x14ac:dyDescent="0.2">
      <c r="C87" s="110"/>
      <c r="G87" s="200"/>
      <c r="H87" s="201"/>
      <c r="I87" s="201"/>
      <c r="J87" s="202"/>
      <c r="K87" s="201"/>
    </row>
    <row r="88" spans="3:71" s="1" customFormat="1" x14ac:dyDescent="0.2">
      <c r="C88" s="110"/>
      <c r="G88" s="200"/>
      <c r="H88" s="201"/>
      <c r="I88" s="201"/>
      <c r="J88" s="202"/>
      <c r="K88" s="201"/>
    </row>
    <row r="89" spans="3:71" s="1" customFormat="1" x14ac:dyDescent="0.2">
      <c r="C89" s="110"/>
      <c r="G89" s="200"/>
      <c r="H89" s="201"/>
      <c r="I89" s="201"/>
      <c r="J89" s="202"/>
      <c r="K89" s="201"/>
    </row>
    <row r="90" spans="3:71" s="1" customFormat="1" x14ac:dyDescent="0.2">
      <c r="C90" s="110"/>
      <c r="G90" s="200"/>
      <c r="H90" s="201"/>
      <c r="I90" s="201"/>
      <c r="J90" s="202"/>
      <c r="K90" s="201"/>
    </row>
    <row r="91" spans="3:71" s="1" customFormat="1" x14ac:dyDescent="0.2">
      <c r="C91" s="110"/>
      <c r="G91" s="200"/>
      <c r="H91" s="201"/>
      <c r="I91" s="201"/>
      <c r="J91" s="202"/>
      <c r="K91" s="201"/>
      <c r="BD91" s="115"/>
      <c r="BE91" s="112"/>
      <c r="BF91" s="112"/>
      <c r="BG91" s="109"/>
      <c r="BH91" s="115"/>
      <c r="BI91" s="116"/>
      <c r="BJ91" s="116"/>
      <c r="BK91" s="116"/>
      <c r="BL91" s="115"/>
      <c r="BM91" s="116"/>
      <c r="BN91" s="116"/>
      <c r="BO91" s="116"/>
      <c r="BP91" s="115"/>
      <c r="BQ91" s="116"/>
      <c r="BR91" s="116"/>
      <c r="BS91" s="116"/>
    </row>
    <row r="92" spans="3:71" s="1" customFormat="1" x14ac:dyDescent="0.2">
      <c r="C92" s="110"/>
      <c r="BD92" s="115"/>
      <c r="BE92" s="112"/>
      <c r="BF92" s="109"/>
      <c r="BG92" s="109"/>
      <c r="BH92" s="115"/>
      <c r="BI92" s="116"/>
      <c r="BJ92" s="116"/>
      <c r="BK92" s="116"/>
      <c r="BL92" s="115"/>
      <c r="BM92" s="116"/>
      <c r="BN92" s="116"/>
      <c r="BO92" s="116"/>
      <c r="BP92" s="115"/>
      <c r="BQ92" s="116"/>
      <c r="BR92" s="116"/>
      <c r="BS92" s="116"/>
    </row>
    <row r="93" spans="3:71" s="1" customFormat="1" x14ac:dyDescent="0.2">
      <c r="C93" s="110"/>
      <c r="BD93" s="117"/>
      <c r="BE93" s="112"/>
      <c r="BF93" s="109"/>
      <c r="BG93" s="109"/>
      <c r="BH93" s="115"/>
      <c r="BM93" s="112"/>
      <c r="BN93" s="117"/>
      <c r="BO93" s="118"/>
      <c r="BP93" s="118"/>
      <c r="BQ93" s="8"/>
      <c r="BR93" s="119"/>
      <c r="BS93" s="119"/>
    </row>
    <row r="94" spans="3:71" s="1" customFormat="1" x14ac:dyDescent="0.2">
      <c r="C94" s="110"/>
      <c r="BD94" s="111"/>
      <c r="BE94" s="112"/>
      <c r="BF94" s="109"/>
      <c r="BG94" s="109"/>
      <c r="BH94" s="115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</row>
    <row r="95" spans="3:71" s="1" customFormat="1" x14ac:dyDescent="0.2">
      <c r="C95" s="110"/>
      <c r="AS95" s="207"/>
      <c r="BD95" s="111"/>
      <c r="BE95" s="112"/>
      <c r="BF95" s="112"/>
      <c r="BG95" s="109"/>
      <c r="BI95" s="111"/>
      <c r="BJ95" s="111"/>
      <c r="BK95" s="111"/>
      <c r="BL95" s="111"/>
      <c r="BM95" s="111"/>
      <c r="BN95" s="111"/>
      <c r="BO95" s="111"/>
      <c r="BP95" s="111"/>
      <c r="BQ95" s="111"/>
      <c r="BR95" s="111"/>
      <c r="BS95" s="111"/>
    </row>
    <row r="96" spans="3:71" s="1" customFormat="1" x14ac:dyDescent="0.2">
      <c r="C96" s="110"/>
      <c r="AS96" s="207"/>
      <c r="BD96" s="111"/>
      <c r="BE96" s="112"/>
      <c r="BF96" s="112"/>
      <c r="BG96" s="109"/>
      <c r="BH96" s="111"/>
      <c r="BI96" s="111"/>
      <c r="BJ96" s="111"/>
      <c r="BK96" s="111"/>
      <c r="BL96" s="111"/>
      <c r="BM96" s="111"/>
      <c r="BN96" s="111"/>
      <c r="BO96" s="111"/>
      <c r="BP96" s="111"/>
      <c r="BQ96" s="111"/>
      <c r="BR96" s="111"/>
      <c r="BS96" s="111"/>
    </row>
    <row r="97" spans="1:68" s="1" customFormat="1" x14ac:dyDescent="0.2">
      <c r="C97" s="110"/>
      <c r="AS97" s="207"/>
      <c r="AW97" s="120"/>
      <c r="AY97" s="120"/>
      <c r="BA97" s="120"/>
      <c r="BE97" s="112"/>
      <c r="BF97" s="112"/>
      <c r="BG97" s="109"/>
      <c r="BH97" s="111"/>
    </row>
    <row r="98" spans="1:68" s="1" customFormat="1" x14ac:dyDescent="0.2">
      <c r="C98" s="110"/>
      <c r="AS98" s="207"/>
      <c r="BE98" s="112"/>
      <c r="BF98" s="112"/>
      <c r="BG98" s="109"/>
      <c r="BH98" s="111"/>
    </row>
    <row r="99" spans="1:68" s="1" customFormat="1" x14ac:dyDescent="0.2">
      <c r="C99" s="110"/>
      <c r="AS99" s="207"/>
      <c r="BE99" s="112"/>
      <c r="BF99" s="112"/>
      <c r="BG99" s="109"/>
      <c r="BP99" s="109"/>
    </row>
    <row r="100" spans="1:68" s="1" customFormat="1" x14ac:dyDescent="0.2">
      <c r="AS100" s="203"/>
      <c r="BE100" s="112"/>
      <c r="BF100" s="112"/>
      <c r="BG100" s="109"/>
      <c r="BP100" s="112"/>
    </row>
    <row r="101" spans="1:68" s="1" customFormat="1" x14ac:dyDescent="0.2">
      <c r="BE101" s="112"/>
      <c r="BF101" s="112"/>
      <c r="BG101" s="109"/>
    </row>
    <row r="102" spans="1:68" s="1" customFormat="1" x14ac:dyDescent="0.2">
      <c r="BE102" s="112"/>
      <c r="BF102" s="112"/>
      <c r="BG102" s="109"/>
    </row>
    <row r="103" spans="1:68" s="1" customFormat="1" x14ac:dyDescent="0.2">
      <c r="AS103" s="204"/>
      <c r="BE103" s="112"/>
      <c r="BF103" s="112"/>
      <c r="BG103" s="109"/>
    </row>
    <row r="104" spans="1:68" s="1" customFormat="1" x14ac:dyDescent="0.2">
      <c r="BE104" s="112"/>
      <c r="BF104" s="112"/>
      <c r="BG104" s="109"/>
    </row>
    <row r="105" spans="1:6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AQ105" s="1"/>
      <c r="BE105" s="38"/>
      <c r="BF105" s="38"/>
      <c r="BG105" s="7"/>
    </row>
    <row r="106" spans="1:68" x14ac:dyDescent="0.2">
      <c r="BE106" s="38"/>
      <c r="BF106" s="38"/>
      <c r="BG106" s="7"/>
    </row>
    <row r="107" spans="1:68" x14ac:dyDescent="0.2">
      <c r="BE107" s="38"/>
      <c r="BF107" s="38"/>
      <c r="BG107" s="7"/>
    </row>
    <row r="108" spans="1:68" x14ac:dyDescent="0.2">
      <c r="BE108" s="38"/>
      <c r="BF108" s="38"/>
      <c r="BG108" s="7"/>
    </row>
    <row r="109" spans="1:68" x14ac:dyDescent="0.2">
      <c r="BE109" s="38"/>
      <c r="BF109" s="38"/>
      <c r="BG109" s="7"/>
    </row>
    <row r="110" spans="1:68" x14ac:dyDescent="0.2">
      <c r="BE110" s="38"/>
      <c r="BF110" s="38"/>
      <c r="BG110" s="7"/>
    </row>
    <row r="111" spans="1:68" x14ac:dyDescent="0.2">
      <c r="BE111" s="38"/>
      <c r="BF111" s="38"/>
      <c r="BG111" s="7"/>
    </row>
  </sheetData>
  <sheetProtection password="C5DD" sheet="1" objects="1" scenarios="1" formatCells="0" formatColumns="0" formatRows="0"/>
  <mergeCells count="293">
    <mergeCell ref="D18:E18"/>
    <mergeCell ref="K10:L10"/>
    <mergeCell ref="M10:N10"/>
    <mergeCell ref="K9:L9"/>
    <mergeCell ref="M9:N9"/>
    <mergeCell ref="K11:N11"/>
    <mergeCell ref="G9:H9"/>
    <mergeCell ref="I9:J9"/>
    <mergeCell ref="G10:H10"/>
    <mergeCell ref="I10:J10"/>
    <mergeCell ref="G11:J11"/>
    <mergeCell ref="B49:E49"/>
    <mergeCell ref="B39:E39"/>
    <mergeCell ref="I40:J40"/>
    <mergeCell ref="I41:J41"/>
    <mergeCell ref="G40:H40"/>
    <mergeCell ref="G42:H42"/>
    <mergeCell ref="G43:H43"/>
    <mergeCell ref="I43:J43"/>
    <mergeCell ref="I42:J42"/>
    <mergeCell ref="H46:I46"/>
    <mergeCell ref="H47:I47"/>
    <mergeCell ref="H48:I48"/>
    <mergeCell ref="H49:I49"/>
    <mergeCell ref="N46:P46"/>
    <mergeCell ref="A20:B20"/>
    <mergeCell ref="H30:I30"/>
    <mergeCell ref="A21:B21"/>
    <mergeCell ref="A22:B22"/>
    <mergeCell ref="C24:D24"/>
    <mergeCell ref="G21:H21"/>
    <mergeCell ref="G22:H22"/>
    <mergeCell ref="G20:H20"/>
    <mergeCell ref="A30:B30"/>
    <mergeCell ref="J26:M27"/>
    <mergeCell ref="K21:L21"/>
    <mergeCell ref="K20:L20"/>
    <mergeCell ref="K22:L22"/>
    <mergeCell ref="AR15:AR17"/>
    <mergeCell ref="M18:N18"/>
    <mergeCell ref="G18:H18"/>
    <mergeCell ref="I18:J18"/>
    <mergeCell ref="K17:L17"/>
    <mergeCell ref="K18:L18"/>
    <mergeCell ref="M17:N17"/>
    <mergeCell ref="G17:H17"/>
    <mergeCell ref="I17:J17"/>
    <mergeCell ref="AD17:AG17"/>
    <mergeCell ref="G16:H16"/>
    <mergeCell ref="BR6:BS6"/>
    <mergeCell ref="BI9:BK9"/>
    <mergeCell ref="BE17:BG17"/>
    <mergeCell ref="BE10:BG10"/>
    <mergeCell ref="AR9:AR11"/>
    <mergeCell ref="BL6:BM6"/>
    <mergeCell ref="BF6:BG6"/>
    <mergeCell ref="BL12:BN12"/>
    <mergeCell ref="AQ5:AQ8"/>
    <mergeCell ref="AU6:AU8"/>
    <mergeCell ref="BF16:BG16"/>
    <mergeCell ref="BE7:BG7"/>
    <mergeCell ref="BE9:BG9"/>
    <mergeCell ref="AV6:AV8"/>
    <mergeCell ref="AW6:AW8"/>
    <mergeCell ref="BE11:BG11"/>
    <mergeCell ref="AY6:AY8"/>
    <mergeCell ref="BI7:BK7"/>
    <mergeCell ref="BH6:BI6"/>
    <mergeCell ref="BM11:BO11"/>
    <mergeCell ref="BI11:BK11"/>
    <mergeCell ref="BH16:BI16"/>
    <mergeCell ref="BJ16:BK16"/>
    <mergeCell ref="BI10:BK10"/>
    <mergeCell ref="AS4:AW4"/>
    <mergeCell ref="AX4:BB4"/>
    <mergeCell ref="AV5:AW5"/>
    <mergeCell ref="AX5:AX8"/>
    <mergeCell ref="AY5:AZ5"/>
    <mergeCell ref="L1:N1"/>
    <mergeCell ref="K2:L2"/>
    <mergeCell ref="M2:N2"/>
    <mergeCell ref="AL4:AL9"/>
    <mergeCell ref="AD5:AD11"/>
    <mergeCell ref="AE5:AE11"/>
    <mergeCell ref="AF5:AF11"/>
    <mergeCell ref="AH6:AH9"/>
    <mergeCell ref="AI6:AI9"/>
    <mergeCell ref="AJ6:AJ9"/>
    <mergeCell ref="AK4:AK9"/>
    <mergeCell ref="AS5:AS8"/>
    <mergeCell ref="AT6:AT8"/>
    <mergeCell ref="AT5:AU5"/>
    <mergeCell ref="Q4:Q8"/>
    <mergeCell ref="R4:R8"/>
    <mergeCell ref="S4:AB8"/>
    <mergeCell ref="AD4:AF4"/>
    <mergeCell ref="AR5:AR8"/>
    <mergeCell ref="BE18:BG18"/>
    <mergeCell ref="BQ10:BS10"/>
    <mergeCell ref="BQ9:BS9"/>
    <mergeCell ref="BM10:BO10"/>
    <mergeCell ref="BJ22:BK22"/>
    <mergeCell ref="BI14:BJ14"/>
    <mergeCell ref="BD16:BE16"/>
    <mergeCell ref="BV1:BV3"/>
    <mergeCell ref="BL2:BN2"/>
    <mergeCell ref="BO2:BP2"/>
    <mergeCell ref="BU1:BU3"/>
    <mergeCell ref="BM7:BO7"/>
    <mergeCell ref="BM9:BO9"/>
    <mergeCell ref="BQ7:BS7"/>
    <mergeCell ref="BN16:BO16"/>
    <mergeCell ref="BN6:BO6"/>
    <mergeCell ref="BP6:BQ6"/>
    <mergeCell ref="BL16:BM16"/>
    <mergeCell ref="BL5:BS5"/>
    <mergeCell ref="BM17:BO17"/>
    <mergeCell ref="BQ17:BS17"/>
    <mergeCell ref="BI4:BJ4"/>
    <mergeCell ref="BM8:BO8"/>
    <mergeCell ref="BQ8:BS8"/>
    <mergeCell ref="BD15:BK15"/>
    <mergeCell ref="BI8:BK8"/>
    <mergeCell ref="AZ6:AZ8"/>
    <mergeCell ref="BC5:BC8"/>
    <mergeCell ref="BE8:BG8"/>
    <mergeCell ref="BB6:BB8"/>
    <mergeCell ref="BD6:BE6"/>
    <mergeCell ref="BD5:BK5"/>
    <mergeCell ref="BJ6:BK6"/>
    <mergeCell ref="BA5:BB5"/>
    <mergeCell ref="BA6:BA8"/>
    <mergeCell ref="BI17:BK17"/>
    <mergeCell ref="BI18:BK18"/>
    <mergeCell ref="AA19:AB19"/>
    <mergeCell ref="AJ20:AJ23"/>
    <mergeCell ref="BZ12:BZ13"/>
    <mergeCell ref="BL15:BS15"/>
    <mergeCell ref="BP16:BQ16"/>
    <mergeCell ref="BR16:BS16"/>
    <mergeCell ref="BO12:BP12"/>
    <mergeCell ref="BO14:BP14"/>
    <mergeCell ref="BJ12:BK12"/>
    <mergeCell ref="BQ21:BS21"/>
    <mergeCell ref="BM18:BO18"/>
    <mergeCell ref="BQ18:BS18"/>
    <mergeCell ref="BQ20:BS20"/>
    <mergeCell ref="BI21:BK21"/>
    <mergeCell ref="BM21:BO21"/>
    <mergeCell ref="BM19:BO19"/>
    <mergeCell ref="BR12:BS12"/>
    <mergeCell ref="AR12:AR14"/>
    <mergeCell ref="BD12:BF12"/>
    <mergeCell ref="BG12:BH12"/>
    <mergeCell ref="BL14:BN14"/>
    <mergeCell ref="AK18:AK23"/>
    <mergeCell ref="BV20:BV21"/>
    <mergeCell ref="BE19:BG19"/>
    <mergeCell ref="BI19:BK19"/>
    <mergeCell ref="BQ19:BS19"/>
    <mergeCell ref="BE20:BG20"/>
    <mergeCell ref="BI20:BK20"/>
    <mergeCell ref="BM20:BO20"/>
    <mergeCell ref="BZ25:BZ26"/>
    <mergeCell ref="S24:AB24"/>
    <mergeCell ref="BD24:BF24"/>
    <mergeCell ref="BG24:BH24"/>
    <mergeCell ref="BK24:BL24"/>
    <mergeCell ref="BO24:BP24"/>
    <mergeCell ref="BD22:BF22"/>
    <mergeCell ref="BL22:BN22"/>
    <mergeCell ref="BO22:BP22"/>
    <mergeCell ref="BG22:BH22"/>
    <mergeCell ref="BR22:BS22"/>
    <mergeCell ref="BW20:BW21"/>
    <mergeCell ref="BX20:BY20"/>
    <mergeCell ref="AI20:AI23"/>
    <mergeCell ref="AR21:AR23"/>
    <mergeCell ref="BE21:BG21"/>
    <mergeCell ref="AR18:AR20"/>
    <mergeCell ref="BP31:BQ31"/>
    <mergeCell ref="BR31:BS31"/>
    <mergeCell ref="BD31:BE31"/>
    <mergeCell ref="BF31:BG31"/>
    <mergeCell ref="BH31:BI31"/>
    <mergeCell ref="BJ31:BK31"/>
    <mergeCell ref="BL31:BM31"/>
    <mergeCell ref="BN31:BO31"/>
    <mergeCell ref="BD37:BF37"/>
    <mergeCell ref="BG37:BH37"/>
    <mergeCell ref="BJ37:BK37"/>
    <mergeCell ref="BI33:BK33"/>
    <mergeCell ref="BM33:BO33"/>
    <mergeCell ref="BQ33:BS33"/>
    <mergeCell ref="BI34:BK34"/>
    <mergeCell ref="BM34:BO34"/>
    <mergeCell ref="BI32:BK32"/>
    <mergeCell ref="BQ34:BS34"/>
    <mergeCell ref="BE33:BG33"/>
    <mergeCell ref="BE34:BG34"/>
    <mergeCell ref="BM32:BO32"/>
    <mergeCell ref="BQ32:BS32"/>
    <mergeCell ref="BM35:BO35"/>
    <mergeCell ref="BQ35:BS35"/>
    <mergeCell ref="BE36:BG36"/>
    <mergeCell ref="BI36:BK36"/>
    <mergeCell ref="BM36:BO36"/>
    <mergeCell ref="BQ36:BS36"/>
    <mergeCell ref="BQ46:BS46"/>
    <mergeCell ref="BD47:BF47"/>
    <mergeCell ref="BG47:BH47"/>
    <mergeCell ref="BI39:BJ39"/>
    <mergeCell ref="BL39:BN39"/>
    <mergeCell ref="BO39:BP39"/>
    <mergeCell ref="BD40:BK40"/>
    <mergeCell ref="BL40:BS40"/>
    <mergeCell ref="BQ45:BS45"/>
    <mergeCell ref="BE43:BG43"/>
    <mergeCell ref="BQ44:BS44"/>
    <mergeCell ref="BR47:BS47"/>
    <mergeCell ref="BI43:BK43"/>
    <mergeCell ref="BM43:BO43"/>
    <mergeCell ref="BQ43:BS43"/>
    <mergeCell ref="BE44:BG44"/>
    <mergeCell ref="BI44:BK44"/>
    <mergeCell ref="BM44:BO44"/>
    <mergeCell ref="AE55:AF55"/>
    <mergeCell ref="BO49:BP49"/>
    <mergeCell ref="BE45:BG45"/>
    <mergeCell ref="BI45:BK45"/>
    <mergeCell ref="BM45:BO45"/>
    <mergeCell ref="BL47:BN47"/>
    <mergeCell ref="BO47:BP47"/>
    <mergeCell ref="AT54:AT57"/>
    <mergeCell ref="AU54:AU57"/>
    <mergeCell ref="AV54:AV57"/>
    <mergeCell ref="BI46:BK46"/>
    <mergeCell ref="BM46:BO46"/>
    <mergeCell ref="BD49:BF49"/>
    <mergeCell ref="BG49:BH49"/>
    <mergeCell ref="BJ47:BK47"/>
    <mergeCell ref="BE46:BG46"/>
    <mergeCell ref="AW54:AW57"/>
    <mergeCell ref="BK49:BL49"/>
    <mergeCell ref="AS54:AS57"/>
    <mergeCell ref="BQ11:BS11"/>
    <mergeCell ref="BR41:BS41"/>
    <mergeCell ref="BE42:BG42"/>
    <mergeCell ref="BI42:BK42"/>
    <mergeCell ref="BM42:BO42"/>
    <mergeCell ref="BQ42:BS42"/>
    <mergeCell ref="BD41:BE41"/>
    <mergeCell ref="BF41:BG41"/>
    <mergeCell ref="BH41:BI41"/>
    <mergeCell ref="BJ41:BK41"/>
    <mergeCell ref="BL41:BM41"/>
    <mergeCell ref="BN41:BO41"/>
    <mergeCell ref="BI29:BJ29"/>
    <mergeCell ref="BL27:BN27"/>
    <mergeCell ref="BO27:BP27"/>
    <mergeCell ref="BD30:BK30"/>
    <mergeCell ref="BL30:BS30"/>
    <mergeCell ref="BP41:BQ41"/>
    <mergeCell ref="BE35:BG35"/>
    <mergeCell ref="BI35:BK35"/>
    <mergeCell ref="BL37:BN37"/>
    <mergeCell ref="BO37:BP37"/>
    <mergeCell ref="BR37:BS37"/>
    <mergeCell ref="BE32:BG32"/>
    <mergeCell ref="A7:B7"/>
    <mergeCell ref="H50:I50"/>
    <mergeCell ref="H51:I51"/>
    <mergeCell ref="H52:I52"/>
    <mergeCell ref="H53:I53"/>
    <mergeCell ref="A1:J2"/>
    <mergeCell ref="K5:M5"/>
    <mergeCell ref="H34:H35"/>
    <mergeCell ref="AA34:AB34"/>
    <mergeCell ref="D34:E34"/>
    <mergeCell ref="F34:G34"/>
    <mergeCell ref="C5:D5"/>
    <mergeCell ref="M16:N16"/>
    <mergeCell ref="K16:L16"/>
    <mergeCell ref="K6:M6"/>
    <mergeCell ref="K7:M7"/>
    <mergeCell ref="C6:D6"/>
    <mergeCell ref="C10:E10"/>
    <mergeCell ref="C11:E11"/>
    <mergeCell ref="C26:F27"/>
    <mergeCell ref="C7:D7"/>
    <mergeCell ref="B33:D33"/>
    <mergeCell ref="I16:J16"/>
    <mergeCell ref="G19:N19"/>
  </mergeCells>
  <phoneticPr fontId="27" type="noConversion"/>
  <conditionalFormatting sqref="H36:H37 E47:E48 G42:J43">
    <cfRule type="cellIs" dxfId="14" priority="2" stopIfTrue="1" operator="equal">
      <formula>"fulfilled"</formula>
    </cfRule>
    <cfRule type="cellIs" dxfId="13" priority="3" stopIfTrue="1" operator="equal">
      <formula>"not fulfilled"</formula>
    </cfRule>
  </conditionalFormatting>
  <conditionalFormatting sqref="G5">
    <cfRule type="cellIs" dxfId="12" priority="4" stopIfTrue="1" operator="equal">
      <formula>""""""</formula>
    </cfRule>
  </conditionalFormatting>
  <conditionalFormatting sqref="D51:D52">
    <cfRule type="cellIs" dxfId="11" priority="5" stopIfTrue="1" operator="equal">
      <formula>"not valid"</formula>
    </cfRule>
  </conditionalFormatting>
  <conditionalFormatting sqref="AU25 AW25 AZ25 BB25">
    <cfRule type="cellIs" dxfId="10" priority="6" stopIfTrue="1" operator="notBetween">
      <formula>0.9</formula>
      <formula>1.1</formula>
    </cfRule>
  </conditionalFormatting>
  <conditionalFormatting sqref="AU28 AW28 AZ28 BB28">
    <cfRule type="cellIs" dxfId="9" priority="7" stopIfTrue="1" operator="notBetween">
      <formula>0.98</formula>
      <formula>1</formula>
    </cfRule>
  </conditionalFormatting>
  <conditionalFormatting sqref="AU26">
    <cfRule type="cellIs" dxfId="8" priority="8" stopIfTrue="1" operator="notBetween">
      <formula>-3.1</formula>
      <formula>-3.6</formula>
    </cfRule>
  </conditionalFormatting>
  <conditionalFormatting sqref="AW26">
    <cfRule type="cellIs" dxfId="7" priority="9" stopIfTrue="1" operator="notBetween">
      <formula>-3.1</formula>
      <formula>-3.6</formula>
    </cfRule>
  </conditionalFormatting>
  <conditionalFormatting sqref="AZ26">
    <cfRule type="cellIs" dxfId="6" priority="10" stopIfTrue="1" operator="notBetween">
      <formula>-3.1</formula>
      <formula>-3.6</formula>
    </cfRule>
  </conditionalFormatting>
  <conditionalFormatting sqref="BB26">
    <cfRule type="cellIs" dxfId="5" priority="11" stopIfTrue="1" operator="notBetween">
      <formula>-3.1</formula>
      <formula>-3.6</formula>
    </cfRule>
  </conditionalFormatting>
  <conditionalFormatting sqref="M2:P2">
    <cfRule type="cellIs" dxfId="4" priority="12" stopIfTrue="1" operator="equal">
      <formula>"unsuccessful"</formula>
    </cfRule>
    <cfRule type="cellIs" dxfId="3" priority="13" stopIfTrue="1" operator="equal">
      <formula>"successful"</formula>
    </cfRule>
  </conditionalFormatting>
  <conditionalFormatting sqref="C16">
    <cfRule type="cellIs" dxfId="2" priority="14" stopIfTrue="1" operator="equal">
      <formula>"Wert angeben!"</formula>
    </cfRule>
  </conditionalFormatting>
  <conditionalFormatting sqref="E50">
    <cfRule type="cellIs" dxfId="1" priority="15" stopIfTrue="1" operator="equal">
      <formula>"serial dilution is not plausible"</formula>
    </cfRule>
  </conditionalFormatting>
  <conditionalFormatting sqref="K5:M7">
    <cfRule type="cellIs" dxfId="0" priority="1" stopIfTrue="1" operator="equal">
      <formula>""""""</formula>
    </cfRule>
  </conditionalFormatting>
  <dataValidations count="2">
    <dataValidation type="list" allowBlank="1" showInputMessage="1" showErrorMessage="1" sqref="G5">
      <formula1>$H$55:$H$75</formula1>
    </dataValidation>
    <dataValidation type="list" allowBlank="1" showInputMessage="1" showErrorMessage="1" sqref="G6">
      <formula1>$L$55:$L$66</formula1>
    </dataValidation>
  </dataValidations>
  <pageMargins left="0.78740157480314965" right="0.78740157480314965" top="0.62992125984251968" bottom="0.47244094488188981" header="0.27559055118110237" footer="0.35433070866141736"/>
  <pageSetup paperSize="9" scale="58" fitToWidth="3" orientation="landscape" r:id="rId1"/>
  <headerFooter>
    <oddHeader>&amp;L&amp;A&amp;C&amp;U&amp;F&amp;R&amp;D</oddHeader>
    <oddFooter>&amp;LVersion of 19/05/2016</oddFooter>
  </headerFooter>
  <colBreaks count="1" manualBreakCount="1">
    <brk id="16" max="52" man="1"/>
  </colBreaks>
  <cellWatches>
    <cellWatch r="I19"/>
  </cellWatch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Q43"/>
  <sheetViews>
    <sheetView zoomScale="85" zoomScaleNormal="85" workbookViewId="0">
      <selection activeCell="B3" sqref="B3"/>
    </sheetView>
  </sheetViews>
  <sheetFormatPr baseColWidth="10" defaultRowHeight="12.75" x14ac:dyDescent="0.2"/>
  <cols>
    <col min="1" max="1" width="9.140625" style="61" customWidth="1"/>
    <col min="2" max="2" width="11.42578125" style="61"/>
    <col min="3" max="3" width="13.5703125" style="61" customWidth="1"/>
    <col min="4" max="4" width="17.7109375" style="61" customWidth="1"/>
    <col min="5" max="5" width="5.5703125" style="61" customWidth="1"/>
    <col min="6" max="6" width="6.42578125" style="61" customWidth="1"/>
    <col min="7" max="7" width="5.42578125" style="61" customWidth="1"/>
    <col min="8" max="8" width="9.140625" style="61" customWidth="1"/>
    <col min="9" max="9" width="9" style="61" customWidth="1"/>
    <col min="10" max="10" width="13.140625" style="61" customWidth="1"/>
    <col min="11" max="11" width="8.5703125" style="61" customWidth="1"/>
    <col min="12" max="12" width="9" style="61" customWidth="1"/>
    <col min="13" max="13" width="14.28515625" style="61" customWidth="1"/>
    <col min="14" max="14" width="13.85546875" style="61" customWidth="1"/>
    <col min="15" max="15" width="15.5703125" style="61" customWidth="1"/>
    <col min="16" max="16" width="16.42578125" style="61" customWidth="1"/>
    <col min="17" max="16384" width="11.42578125" style="61"/>
  </cols>
  <sheetData>
    <row r="2" spans="1:15" x14ac:dyDescent="0.2">
      <c r="A2" s="15" t="s">
        <v>184</v>
      </c>
      <c r="B2" s="60" t="str">
        <f>IF(Report!K5=0," ",Report!K5)</f>
        <v xml:space="preserve"> </v>
      </c>
      <c r="C2" s="58"/>
    </row>
    <row r="3" spans="1:15" x14ac:dyDescent="0.2">
      <c r="A3" s="18" t="s">
        <v>185</v>
      </c>
      <c r="B3" s="429"/>
      <c r="C3" s="58"/>
    </row>
    <row r="4" spans="1:15" x14ac:dyDescent="0.2">
      <c r="A4" s="18"/>
      <c r="B4" s="62"/>
      <c r="C4" s="58"/>
    </row>
    <row r="5" spans="1:15" ht="15.75" x14ac:dyDescent="0.25">
      <c r="A5" s="252"/>
      <c r="B5" s="11" t="s">
        <v>556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104"/>
    </row>
    <row r="6" spans="1:15" ht="12" customHeight="1" x14ac:dyDescent="0.25">
      <c r="A6" s="3"/>
      <c r="C6" s="63"/>
      <c r="D6" s="64"/>
      <c r="E6" s="65"/>
      <c r="F6" s="66"/>
      <c r="G6" s="66"/>
      <c r="H6" s="66"/>
      <c r="I6" s="66"/>
      <c r="J6" s="66"/>
    </row>
    <row r="7" spans="1:15" ht="15" x14ac:dyDescent="0.2">
      <c r="A7" s="127"/>
      <c r="B7" s="2" t="str">
        <f>IF(Report!B10="","",Report!B10)</f>
        <v>S/N</v>
      </c>
      <c r="C7" s="300" t="str">
        <f>IF(Report!C10=0," ",Report!C10)</f>
        <v xml:space="preserve"> </v>
      </c>
      <c r="D7" s="329"/>
      <c r="E7" s="328"/>
    </row>
    <row r="8" spans="1:15" ht="15" x14ac:dyDescent="0.2">
      <c r="A8" s="127"/>
      <c r="B8" s="2" t="str">
        <f>IF(Report!B11="","",Report!B11)</f>
        <v>Name</v>
      </c>
      <c r="C8" s="1007" t="str">
        <f>IF(Report!C11=0," ",Report!C11)</f>
        <v xml:space="preserve"> </v>
      </c>
      <c r="D8" s="1008"/>
      <c r="E8" s="319"/>
    </row>
    <row r="9" spans="1:15" ht="15.75" x14ac:dyDescent="0.25">
      <c r="A9" s="127"/>
      <c r="B9" s="2" t="s">
        <v>186</v>
      </c>
      <c r="C9" s="67" t="str">
        <f>IF(Report!C12=0," ",Report!C12)</f>
        <v xml:space="preserve"> </v>
      </c>
      <c r="D9" s="68"/>
      <c r="E9" s="333"/>
    </row>
    <row r="10" spans="1:15" ht="15" x14ac:dyDescent="0.2">
      <c r="A10" s="127"/>
      <c r="B10" s="18" t="s">
        <v>187</v>
      </c>
      <c r="C10" s="1009" t="str">
        <f>IF(Report!C25=0," ",Report!C25)</f>
        <v/>
      </c>
      <c r="D10" s="1010"/>
      <c r="E10" s="320"/>
    </row>
    <row r="11" spans="1:15" ht="15" x14ac:dyDescent="0.2">
      <c r="A11" s="976" t="s">
        <v>188</v>
      </c>
      <c r="B11" s="976"/>
      <c r="C11" s="1009" t="str">
        <f>IF(Report!J25=0," ",Report!J25)</f>
        <v/>
      </c>
      <c r="D11" s="1010"/>
      <c r="E11" s="320"/>
    </row>
    <row r="12" spans="1:15" ht="15" customHeight="1" x14ac:dyDescent="0.2">
      <c r="A12" s="127"/>
      <c r="B12" s="127"/>
      <c r="D12" s="69"/>
      <c r="E12" s="36"/>
    </row>
    <row r="13" spans="1:15" ht="15" customHeight="1" x14ac:dyDescent="0.2">
      <c r="A13" s="1005"/>
      <c r="B13" s="1006"/>
      <c r="D13" s="70"/>
      <c r="E13" s="36"/>
    </row>
    <row r="14" spans="1:15" ht="23.25" customHeight="1" x14ac:dyDescent="0.25">
      <c r="A14" s="1225"/>
      <c r="B14" s="18" t="s">
        <v>674</v>
      </c>
      <c r="C14" s="302" t="str">
        <f>IF(Report!C20=0," ",Report!C20)</f>
        <v xml:space="preserve"> </v>
      </c>
      <c r="D14" s="317" t="str">
        <f>IF(Report!G32=0," ",Report!G32)</f>
        <v xml:space="preserve"> </v>
      </c>
      <c r="E14" s="365" t="s">
        <v>625</v>
      </c>
      <c r="F14" s="361"/>
      <c r="G14" s="362"/>
      <c r="H14" s="362"/>
      <c r="I14" s="62"/>
      <c r="J14" s="3"/>
      <c r="K14" s="66"/>
      <c r="L14" s="66"/>
      <c r="N14" s="71"/>
      <c r="O14" s="71"/>
    </row>
    <row r="15" spans="1:15" ht="15.75" x14ac:dyDescent="0.25">
      <c r="A15" s="127"/>
      <c r="D15" s="337" t="str">
        <f>IF(Report!D20=0,"",Report!D20)</f>
        <v/>
      </c>
      <c r="E15" s="148" t="s">
        <v>189</v>
      </c>
      <c r="F15" s="363"/>
      <c r="G15" s="362"/>
      <c r="H15" s="362"/>
      <c r="I15" s="62"/>
      <c r="J15" s="3"/>
      <c r="K15" s="263"/>
      <c r="L15" s="66"/>
      <c r="N15" s="71"/>
      <c r="O15" s="71"/>
    </row>
    <row r="16" spans="1:15" ht="15.75" x14ac:dyDescent="0.25">
      <c r="A16" s="127"/>
      <c r="B16" s="18" t="s">
        <v>190</v>
      </c>
      <c r="C16" s="301" t="str">
        <f>IF(Report!G5=0," ",Report!G5)</f>
        <v xml:space="preserve"> </v>
      </c>
      <c r="D16" s="318" t="e">
        <f>VLOOKUP($C$16,Report!H55:I75,2,FALSE)</f>
        <v>#N/A</v>
      </c>
      <c r="E16" s="127" t="s">
        <v>191</v>
      </c>
      <c r="F16" s="364"/>
      <c r="G16" s="362"/>
      <c r="H16" s="362"/>
      <c r="I16" s="264"/>
      <c r="J16" s="3"/>
      <c r="K16" s="66"/>
      <c r="L16" s="66"/>
      <c r="N16" s="71"/>
      <c r="O16" s="71"/>
    </row>
    <row r="17" spans="1:17" ht="15.75" x14ac:dyDescent="0.25">
      <c r="A17" s="71"/>
      <c r="B17" s="71"/>
      <c r="C17" s="71"/>
      <c r="D17" s="701" t="e">
        <f>IF(D14*D22=0,"",((D15*D14*1000)/D16)/D22)</f>
        <v>#VALUE!</v>
      </c>
      <c r="E17" s="127" t="s">
        <v>192</v>
      </c>
      <c r="F17" s="364"/>
      <c r="G17" s="362"/>
      <c r="H17" s="362"/>
      <c r="I17" s="264"/>
      <c r="J17" s="3"/>
      <c r="K17" s="265"/>
      <c r="L17" s="66"/>
      <c r="N17" s="71"/>
      <c r="O17" s="71"/>
    </row>
    <row r="18" spans="1:17" ht="15" x14ac:dyDescent="0.2">
      <c r="A18" s="71"/>
      <c r="B18" s="71"/>
      <c r="C18" s="71"/>
      <c r="D18" s="336"/>
      <c r="E18" s="66"/>
      <c r="F18" s="58"/>
      <c r="H18" s="3"/>
      <c r="I18" s="264"/>
      <c r="J18" s="3"/>
      <c r="K18" s="265"/>
      <c r="L18" s="66"/>
      <c r="N18" s="71"/>
      <c r="O18" s="71"/>
    </row>
    <row r="19" spans="1:17" ht="15" x14ac:dyDescent="0.2">
      <c r="A19" s="71"/>
      <c r="B19" s="282"/>
      <c r="C19" s="77"/>
      <c r="D19" s="336"/>
      <c r="E19" s="66"/>
      <c r="F19" s="58"/>
      <c r="H19" s="3"/>
      <c r="I19" s="264"/>
      <c r="J19" s="3"/>
      <c r="K19" s="265"/>
      <c r="L19" s="66"/>
      <c r="N19" s="71"/>
      <c r="O19" s="71"/>
    </row>
    <row r="20" spans="1:17" ht="15.75" thickBot="1" x14ac:dyDescent="0.25">
      <c r="A20" s="71"/>
      <c r="B20" s="71"/>
      <c r="C20" s="71"/>
      <c r="D20" s="71"/>
      <c r="E20" s="71"/>
      <c r="F20" s="71"/>
      <c r="G20" s="66"/>
      <c r="H20" s="66"/>
      <c r="I20" s="66"/>
      <c r="J20" s="66"/>
      <c r="K20" s="66"/>
      <c r="L20" s="66"/>
      <c r="M20" s="71"/>
      <c r="N20" s="71"/>
      <c r="O20" s="71"/>
    </row>
    <row r="21" spans="1:17" ht="69" customHeight="1" thickBot="1" x14ac:dyDescent="0.4">
      <c r="A21" s="71"/>
      <c r="B21" s="269" t="s">
        <v>193</v>
      </c>
      <c r="C21" s="260" t="s">
        <v>631</v>
      </c>
      <c r="D21" s="261" t="s">
        <v>632</v>
      </c>
      <c r="E21" s="74"/>
      <c r="F21" s="77"/>
      <c r="G21" s="75"/>
      <c r="H21" s="275"/>
      <c r="I21" s="276"/>
      <c r="J21" s="277"/>
      <c r="K21" s="276"/>
      <c r="L21" s="652" t="s">
        <v>557</v>
      </c>
      <c r="M21" s="76" t="s">
        <v>194</v>
      </c>
      <c r="N21" s="268" t="s">
        <v>195</v>
      </c>
      <c r="O21" s="260" t="s">
        <v>560</v>
      </c>
      <c r="P21" s="268" t="s">
        <v>196</v>
      </c>
    </row>
    <row r="22" spans="1:17" ht="16.5" thickTop="1" x14ac:dyDescent="0.25">
      <c r="A22" s="71"/>
      <c r="B22" s="594" t="s">
        <v>197</v>
      </c>
      <c r="C22" s="595" t="str">
        <f>IF(OR(Report!$C$14="",Report!$C$12="",Report!G6=""),"",IF(2500/C9/Report!G6&gt;Report!C14,Report!C14*C9*Report!G6,2500))</f>
        <v/>
      </c>
      <c r="D22" s="596" t="str">
        <f>IF(OR(Report!C12=0,Report!C14=0,Report!G6=0),"no data",C22/C9/Report!G6)</f>
        <v>no data</v>
      </c>
      <c r="E22" s="597" t="s">
        <v>198</v>
      </c>
      <c r="F22" s="598" t="str">
        <f t="shared" ref="F22:F30" si="0">IF(D$14="","",D$14)</f>
        <v xml:space="preserve"> </v>
      </c>
      <c r="G22" s="599" t="s">
        <v>199</v>
      </c>
      <c r="H22" s="600" t="e">
        <f>IF(D$14*D22*D15*D16=0,"0",(IF(D22="","",(N22/D17))))</f>
        <v>#VALUE!</v>
      </c>
      <c r="I22" s="598" t="s">
        <v>200</v>
      </c>
      <c r="J22" s="650" t="str">
        <f>IF(D15=0,"",D15&amp;" ng/µl")</f>
        <v xml:space="preserve"> ng/µl</v>
      </c>
      <c r="K22" s="601" t="s">
        <v>201</v>
      </c>
      <c r="L22" s="653" t="e">
        <f>IF(D14*D22*D15*D16=0,"0",(IF(D22="","",(N22-H22))))</f>
        <v>#VALUE!</v>
      </c>
      <c r="M22" s="602">
        <v>3</v>
      </c>
      <c r="N22" s="308" t="e">
        <f t="shared" ref="N22:N29" si="1">ROUNDUP((D$14*M22+H23)*20/100+D$14*M22+H23,0)</f>
        <v>#VALUE!</v>
      </c>
      <c r="O22" s="85" t="e">
        <f t="shared" ref="O22:O29" si="2">N22-H23</f>
        <v>#VALUE!</v>
      </c>
      <c r="P22" s="651" t="e">
        <f>D15/D17</f>
        <v>#VALUE!</v>
      </c>
      <c r="Q22" s="266"/>
    </row>
    <row r="23" spans="1:17" ht="15.75" x14ac:dyDescent="0.25">
      <c r="A23" s="81"/>
      <c r="B23" s="470" t="s">
        <v>202</v>
      </c>
      <c r="C23" s="491">
        <f>IF(C22&gt;1000,500,C22/2)</f>
        <v>500</v>
      </c>
      <c r="D23" s="471" t="str">
        <f>IF(Report!C12=0,"",C23/C9/Report!G6)</f>
        <v/>
      </c>
      <c r="E23" s="790" t="s">
        <v>633</v>
      </c>
      <c r="F23" s="272" t="str">
        <f t="shared" si="0"/>
        <v xml:space="preserve"> </v>
      </c>
      <c r="G23" s="273" t="s">
        <v>203</v>
      </c>
      <c r="H23" s="352" t="e">
        <f t="shared" ref="H23:H30" si="3">N23/(D22/D23)</f>
        <v>#VALUE!</v>
      </c>
      <c r="I23" s="80" t="s">
        <v>204</v>
      </c>
      <c r="J23" s="335" t="str">
        <f t="shared" ref="J23:J30" si="4">IF(D23="","",B22)</f>
        <v/>
      </c>
      <c r="K23" s="267" t="s">
        <v>205</v>
      </c>
      <c r="L23" s="654" t="e">
        <f t="shared" ref="L23:L30" si="5">N23-H23</f>
        <v>#VALUE!</v>
      </c>
      <c r="M23" s="309">
        <v>3</v>
      </c>
      <c r="N23" s="308" t="e">
        <f t="shared" si="1"/>
        <v>#VALUE!</v>
      </c>
      <c r="O23" s="85" t="e">
        <f t="shared" si="2"/>
        <v>#VALUE!</v>
      </c>
      <c r="P23" s="266"/>
      <c r="Q23" s="266"/>
    </row>
    <row r="24" spans="1:17" ht="15.75" x14ac:dyDescent="0.25">
      <c r="A24" s="81"/>
      <c r="B24" s="603" t="s">
        <v>206</v>
      </c>
      <c r="C24" s="604">
        <f>IF(C23&gt;=200,100,80)</f>
        <v>100</v>
      </c>
      <c r="D24" s="596" t="str">
        <f>IF(Report!C12=0,"",C24/C9/Report!G6)</f>
        <v/>
      </c>
      <c r="E24" s="605" t="s">
        <v>633</v>
      </c>
      <c r="F24" s="598" t="str">
        <f t="shared" si="0"/>
        <v xml:space="preserve"> </v>
      </c>
      <c r="G24" s="599" t="s">
        <v>207</v>
      </c>
      <c r="H24" s="600" t="e">
        <f t="shared" si="3"/>
        <v>#VALUE!</v>
      </c>
      <c r="I24" s="598" t="s">
        <v>208</v>
      </c>
      <c r="J24" s="606" t="str">
        <f t="shared" si="4"/>
        <v/>
      </c>
      <c r="K24" s="601" t="s">
        <v>209</v>
      </c>
      <c r="L24" s="653" t="e">
        <f t="shared" si="5"/>
        <v>#VALUE!</v>
      </c>
      <c r="M24" s="607">
        <v>3</v>
      </c>
      <c r="N24" s="308" t="e">
        <f t="shared" si="1"/>
        <v>#VALUE!</v>
      </c>
      <c r="O24" s="85" t="e">
        <f t="shared" si="2"/>
        <v>#VALUE!</v>
      </c>
      <c r="P24" s="266"/>
      <c r="Q24" s="266"/>
    </row>
    <row r="25" spans="1:17" ht="15.75" x14ac:dyDescent="0.25">
      <c r="A25" s="81"/>
      <c r="B25" s="470" t="s">
        <v>210</v>
      </c>
      <c r="C25" s="491">
        <v>60</v>
      </c>
      <c r="D25" s="471" t="str">
        <f>IF(Report!C12=0,"",C25/C9/Report!G6)</f>
        <v/>
      </c>
      <c r="E25" s="79" t="s">
        <v>633</v>
      </c>
      <c r="F25" s="80" t="str">
        <f t="shared" si="0"/>
        <v xml:space="preserve"> </v>
      </c>
      <c r="G25" s="273" t="s">
        <v>211</v>
      </c>
      <c r="H25" s="352" t="e">
        <f t="shared" si="3"/>
        <v>#VALUE!</v>
      </c>
      <c r="I25" s="80" t="s">
        <v>212</v>
      </c>
      <c r="J25" s="335" t="str">
        <f t="shared" si="4"/>
        <v/>
      </c>
      <c r="K25" s="267" t="s">
        <v>213</v>
      </c>
      <c r="L25" s="654" t="e">
        <f t="shared" si="5"/>
        <v>#VALUE!</v>
      </c>
      <c r="M25" s="309">
        <v>10</v>
      </c>
      <c r="N25" s="308" t="e">
        <f t="shared" si="1"/>
        <v>#VALUE!</v>
      </c>
      <c r="O25" s="85" t="e">
        <f t="shared" si="2"/>
        <v>#VALUE!</v>
      </c>
      <c r="P25" s="266"/>
      <c r="Q25" s="266"/>
    </row>
    <row r="26" spans="1:17" ht="15.75" x14ac:dyDescent="0.25">
      <c r="A26" s="81"/>
      <c r="B26" s="603" t="s">
        <v>214</v>
      </c>
      <c r="C26" s="604">
        <v>40</v>
      </c>
      <c r="D26" s="596" t="str">
        <f>IF(Report!C12=0,"",C26/C9/Report!G6)</f>
        <v/>
      </c>
      <c r="E26" s="605" t="s">
        <v>633</v>
      </c>
      <c r="F26" s="598" t="str">
        <f t="shared" si="0"/>
        <v xml:space="preserve"> </v>
      </c>
      <c r="G26" s="599" t="s">
        <v>215</v>
      </c>
      <c r="H26" s="600" t="e">
        <f t="shared" si="3"/>
        <v>#VALUE!</v>
      </c>
      <c r="I26" s="598" t="s">
        <v>216</v>
      </c>
      <c r="J26" s="606" t="str">
        <f t="shared" si="4"/>
        <v/>
      </c>
      <c r="K26" s="601" t="s">
        <v>217</v>
      </c>
      <c r="L26" s="653" t="e">
        <f t="shared" si="5"/>
        <v>#VALUE!</v>
      </c>
      <c r="M26" s="607">
        <v>10</v>
      </c>
      <c r="N26" s="308" t="e">
        <f t="shared" si="1"/>
        <v>#VALUE!</v>
      </c>
      <c r="O26" s="85" t="e">
        <f t="shared" si="2"/>
        <v>#VALUE!</v>
      </c>
      <c r="P26" s="266"/>
      <c r="Q26" s="266"/>
    </row>
    <row r="27" spans="1:17" ht="15.75" x14ac:dyDescent="0.25">
      <c r="A27" s="81"/>
      <c r="B27" s="470" t="s">
        <v>218</v>
      </c>
      <c r="C27" s="491">
        <v>20</v>
      </c>
      <c r="D27" s="471" t="str">
        <f>IF(Report!C12=0,"",C27/C9/Report!G6)</f>
        <v/>
      </c>
      <c r="E27" s="79" t="s">
        <v>633</v>
      </c>
      <c r="F27" s="80" t="str">
        <f t="shared" si="0"/>
        <v xml:space="preserve"> </v>
      </c>
      <c r="G27" s="273" t="s">
        <v>219</v>
      </c>
      <c r="H27" s="352" t="e">
        <f t="shared" si="3"/>
        <v>#VALUE!</v>
      </c>
      <c r="I27" s="80" t="s">
        <v>220</v>
      </c>
      <c r="J27" s="335" t="str">
        <f t="shared" si="4"/>
        <v/>
      </c>
      <c r="K27" s="267" t="s">
        <v>221</v>
      </c>
      <c r="L27" s="654" t="e">
        <f t="shared" si="5"/>
        <v>#VALUE!</v>
      </c>
      <c r="M27" s="309">
        <v>10</v>
      </c>
      <c r="N27" s="308" t="e">
        <f t="shared" si="1"/>
        <v>#VALUE!</v>
      </c>
      <c r="O27" s="85" t="e">
        <f t="shared" si="2"/>
        <v>#VALUE!</v>
      </c>
      <c r="P27" s="266"/>
      <c r="Q27" s="266"/>
    </row>
    <row r="28" spans="1:17" ht="15.75" x14ac:dyDescent="0.25">
      <c r="A28" s="81"/>
      <c r="B28" s="603" t="s">
        <v>222</v>
      </c>
      <c r="C28" s="604">
        <v>10</v>
      </c>
      <c r="D28" s="596" t="str">
        <f>IF(Report!C12=0,"",C28/C9/Report!G6)</f>
        <v/>
      </c>
      <c r="E28" s="605" t="s">
        <v>633</v>
      </c>
      <c r="F28" s="598" t="str">
        <f t="shared" si="0"/>
        <v xml:space="preserve"> </v>
      </c>
      <c r="G28" s="599" t="s">
        <v>223</v>
      </c>
      <c r="H28" s="600" t="e">
        <f t="shared" si="3"/>
        <v>#VALUE!</v>
      </c>
      <c r="I28" s="598" t="s">
        <v>224</v>
      </c>
      <c r="J28" s="606" t="str">
        <f t="shared" si="4"/>
        <v/>
      </c>
      <c r="K28" s="601" t="s">
        <v>225</v>
      </c>
      <c r="L28" s="653" t="e">
        <f t="shared" si="5"/>
        <v>#VALUE!</v>
      </c>
      <c r="M28" s="607">
        <v>10</v>
      </c>
      <c r="N28" s="308" t="e">
        <f t="shared" si="1"/>
        <v>#VALUE!</v>
      </c>
      <c r="O28" s="85" t="e">
        <f t="shared" si="2"/>
        <v>#VALUE!</v>
      </c>
      <c r="P28" s="266"/>
      <c r="Q28" s="266"/>
    </row>
    <row r="29" spans="1:17" ht="16.5" thickBot="1" x14ac:dyDescent="0.3">
      <c r="A29" s="81"/>
      <c r="B29" s="470" t="s">
        <v>226</v>
      </c>
      <c r="C29" s="491">
        <v>5</v>
      </c>
      <c r="D29" s="471" t="str">
        <f>IF(Report!C12=0,"",C29/C9/Report!G6)</f>
        <v/>
      </c>
      <c r="E29" s="79" t="s">
        <v>633</v>
      </c>
      <c r="F29" s="80" t="str">
        <f t="shared" si="0"/>
        <v xml:space="preserve"> </v>
      </c>
      <c r="G29" s="273" t="s">
        <v>227</v>
      </c>
      <c r="H29" s="352" t="e">
        <f t="shared" si="3"/>
        <v>#VALUE!</v>
      </c>
      <c r="I29" s="80" t="s">
        <v>228</v>
      </c>
      <c r="J29" s="335" t="str">
        <f t="shared" si="4"/>
        <v/>
      </c>
      <c r="K29" s="267" t="s">
        <v>229</v>
      </c>
      <c r="L29" s="654" t="e">
        <f t="shared" si="5"/>
        <v>#VALUE!</v>
      </c>
      <c r="M29" s="309">
        <v>10</v>
      </c>
      <c r="N29" s="308" t="e">
        <f t="shared" si="1"/>
        <v>#VALUE!</v>
      </c>
      <c r="O29" s="85" t="e">
        <f t="shared" si="2"/>
        <v>#VALUE!</v>
      </c>
      <c r="P29" s="266"/>
      <c r="Q29" s="266"/>
    </row>
    <row r="30" spans="1:17" ht="17.25" thickTop="1" thickBot="1" x14ac:dyDescent="0.3">
      <c r="A30" s="81"/>
      <c r="B30" s="603" t="s">
        <v>230</v>
      </c>
      <c r="C30" s="608">
        <v>1</v>
      </c>
      <c r="D30" s="596" t="str">
        <f>IF(Report!C12=0,"",C30/C9/Report!G6)</f>
        <v/>
      </c>
      <c r="E30" s="605" t="s">
        <v>633</v>
      </c>
      <c r="F30" s="598" t="str">
        <f t="shared" si="0"/>
        <v xml:space="preserve"> </v>
      </c>
      <c r="G30" s="599" t="s">
        <v>231</v>
      </c>
      <c r="H30" s="609" t="e">
        <f t="shared" si="3"/>
        <v>#VALUE!</v>
      </c>
      <c r="I30" s="610" t="s">
        <v>232</v>
      </c>
      <c r="J30" s="611" t="str">
        <f t="shared" si="4"/>
        <v/>
      </c>
      <c r="K30" s="612" t="s">
        <v>233</v>
      </c>
      <c r="L30" s="655" t="e">
        <f t="shared" si="5"/>
        <v>#VALUE!</v>
      </c>
      <c r="M30" s="613">
        <v>10</v>
      </c>
      <c r="N30" s="308" t="e">
        <f>ROUNDUP((D$14*M30)*20/100+D$14*M30,0)</f>
        <v>#VALUE!</v>
      </c>
      <c r="O30" s="85" t="e">
        <f>N30</f>
        <v>#VALUE!</v>
      </c>
      <c r="P30" s="266"/>
      <c r="Q30" s="266"/>
    </row>
    <row r="31" spans="1:17" ht="15" x14ac:dyDescent="0.2">
      <c r="A31" s="71"/>
      <c r="B31" s="135"/>
      <c r="C31" s="472"/>
      <c r="D31" s="77"/>
      <c r="E31" s="77"/>
      <c r="F31" s="82"/>
      <c r="G31" s="83"/>
      <c r="H31" s="77"/>
      <c r="I31" s="77"/>
      <c r="J31" s="77"/>
      <c r="K31" s="84"/>
      <c r="L31" s="274" t="e">
        <f>SUM(L22:L30)</f>
        <v>#VALUE!</v>
      </c>
      <c r="M31" s="86" t="s">
        <v>234</v>
      </c>
      <c r="N31" s="71"/>
      <c r="O31" s="71"/>
      <c r="P31" s="266"/>
      <c r="Q31" s="266"/>
    </row>
    <row r="34" spans="4:15" x14ac:dyDescent="0.2">
      <c r="M34" s="94"/>
      <c r="N34" s="94"/>
      <c r="O34" s="94"/>
    </row>
    <row r="35" spans="4:15" x14ac:dyDescent="0.2">
      <c r="M35" s="94"/>
      <c r="N35" s="94"/>
      <c r="O35" s="94"/>
    </row>
    <row r="36" spans="4:15" x14ac:dyDescent="0.2">
      <c r="D36" s="87"/>
      <c r="M36" s="94"/>
      <c r="N36" s="94"/>
      <c r="O36" s="94"/>
    </row>
    <row r="37" spans="4:15" x14ac:dyDescent="0.2">
      <c r="M37" s="94"/>
      <c r="N37" s="94"/>
      <c r="O37" s="94"/>
    </row>
    <row r="38" spans="4:15" x14ac:dyDescent="0.2">
      <c r="M38" s="94"/>
      <c r="N38" s="94"/>
      <c r="O38" s="94"/>
    </row>
    <row r="39" spans="4:15" x14ac:dyDescent="0.2">
      <c r="M39" s="94"/>
      <c r="N39" s="94"/>
      <c r="O39" s="94"/>
    </row>
    <row r="40" spans="4:15" x14ac:dyDescent="0.2">
      <c r="M40" s="94"/>
      <c r="N40" s="94"/>
      <c r="O40" s="94"/>
    </row>
    <row r="41" spans="4:15" x14ac:dyDescent="0.2">
      <c r="M41" s="94"/>
      <c r="N41" s="94"/>
      <c r="O41" s="94"/>
    </row>
    <row r="42" spans="4:15" x14ac:dyDescent="0.2">
      <c r="M42" s="94"/>
      <c r="N42" s="94"/>
      <c r="O42" s="94"/>
    </row>
    <row r="43" spans="4:15" x14ac:dyDescent="0.2">
      <c r="M43" s="94"/>
      <c r="N43" s="94"/>
      <c r="O43" s="94"/>
    </row>
  </sheetData>
  <sheetProtection password="C5DD" sheet="1" objects="1" scenarios="1" formatCells="0" formatColumns="0" formatRows="0"/>
  <mergeCells count="5">
    <mergeCell ref="A13:B13"/>
    <mergeCell ref="A11:B11"/>
    <mergeCell ref="C8:D8"/>
    <mergeCell ref="C10:D10"/>
    <mergeCell ref="C11:D11"/>
  </mergeCells>
  <phoneticPr fontId="27" type="noConversion"/>
  <pageMargins left="0.7" right="0.7" top="0.75" bottom="0.75" header="0.3" footer="0.3"/>
  <pageSetup paperSize="9" scale="75" orientation="landscape" r:id="rId1"/>
  <headerFooter>
    <oddHeader>&amp;L&amp;A&amp;C&amp;U&amp;F&amp;R&amp;D</oddHeader>
    <oddFooter>&amp;LVersion of 19/05/2016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Q50"/>
  <sheetViews>
    <sheetView zoomScale="85" zoomScaleNormal="85" workbookViewId="0">
      <selection activeCell="B3" sqref="B3"/>
    </sheetView>
  </sheetViews>
  <sheetFormatPr baseColWidth="10" defaultRowHeight="12.75" x14ac:dyDescent="0.2"/>
  <cols>
    <col min="1" max="1" width="9" style="61" customWidth="1"/>
    <col min="2" max="2" width="11.42578125" style="61"/>
    <col min="3" max="3" width="15.42578125" style="61" customWidth="1"/>
    <col min="4" max="4" width="17.85546875" style="61" customWidth="1"/>
    <col min="5" max="5" width="5.5703125" style="61" customWidth="1"/>
    <col min="6" max="6" width="4.7109375" style="61" customWidth="1"/>
    <col min="7" max="7" width="5.42578125" style="61" customWidth="1"/>
    <col min="8" max="8" width="11.28515625" style="61" customWidth="1"/>
    <col min="9" max="9" width="7.7109375" style="61" customWidth="1"/>
    <col min="10" max="10" width="13.28515625" style="61" customWidth="1"/>
    <col min="11" max="11" width="4.42578125" style="61" customWidth="1"/>
    <col min="12" max="12" width="9" style="61" customWidth="1"/>
    <col min="13" max="13" width="13" style="61" customWidth="1"/>
    <col min="14" max="14" width="14.42578125" style="61" customWidth="1"/>
    <col min="15" max="15" width="15.7109375" style="61" customWidth="1"/>
    <col min="16" max="16" width="17.5703125" style="61" customWidth="1"/>
    <col min="17" max="16384" width="11.42578125" style="61"/>
  </cols>
  <sheetData>
    <row r="1" spans="1:17" x14ac:dyDescent="0.2">
      <c r="N1" s="253"/>
      <c r="O1" s="253"/>
      <c r="P1" s="253"/>
      <c r="Q1" s="253"/>
    </row>
    <row r="2" spans="1:17" x14ac:dyDescent="0.2">
      <c r="A2" s="15" t="s">
        <v>235</v>
      </c>
      <c r="B2" s="60" t="str">
        <f>IF(Report!K5=0," ",Report!K5)</f>
        <v xml:space="preserve"> </v>
      </c>
      <c r="C2" s="58"/>
      <c r="N2" s="253"/>
      <c r="O2" s="253"/>
      <c r="P2" s="253"/>
      <c r="Q2" s="253"/>
    </row>
    <row r="3" spans="1:17" x14ac:dyDescent="0.2">
      <c r="A3" s="18" t="s">
        <v>236</v>
      </c>
      <c r="B3" s="429"/>
      <c r="C3" s="58"/>
      <c r="N3" s="253"/>
      <c r="O3" s="253"/>
      <c r="P3" s="253"/>
      <c r="Q3" s="253"/>
    </row>
    <row r="4" spans="1:17" x14ac:dyDescent="0.2">
      <c r="A4" s="18"/>
      <c r="B4" s="62"/>
      <c r="C4" s="58"/>
      <c r="N4" s="253"/>
      <c r="O4" s="253"/>
      <c r="P4" s="253"/>
      <c r="Q4" s="253"/>
    </row>
    <row r="5" spans="1:17" ht="15.75" x14ac:dyDescent="0.25">
      <c r="A5" s="251"/>
      <c r="B5" s="11" t="s">
        <v>237</v>
      </c>
      <c r="C5" s="251"/>
      <c r="D5" s="251"/>
      <c r="E5" s="251"/>
      <c r="F5" s="251"/>
      <c r="G5" s="252"/>
      <c r="H5" s="252"/>
      <c r="I5" s="252"/>
      <c r="J5" s="252"/>
      <c r="K5" s="252"/>
      <c r="L5" s="252"/>
      <c r="M5" s="252"/>
      <c r="N5" s="253"/>
      <c r="O5" s="253"/>
      <c r="P5" s="255"/>
      <c r="Q5" s="253"/>
    </row>
    <row r="6" spans="1:17" x14ac:dyDescent="0.2">
      <c r="N6" s="255"/>
      <c r="O6" s="253"/>
      <c r="P6" s="253"/>
      <c r="Q6" s="253"/>
    </row>
    <row r="7" spans="1:17" ht="15" x14ac:dyDescent="0.2">
      <c r="A7" s="3"/>
      <c r="B7" s="2" t="str">
        <f>IF(Report!B10="","",Report!B10)</f>
        <v>S/N</v>
      </c>
      <c r="C7" s="300" t="str">
        <f>IF(Report!C10=0," ",Report!C10)</f>
        <v xml:space="preserve"> </v>
      </c>
      <c r="D7" s="329"/>
      <c r="E7" s="328"/>
      <c r="F7" s="71"/>
      <c r="N7" s="253"/>
      <c r="O7" s="253"/>
      <c r="P7" s="253"/>
      <c r="Q7" s="253"/>
    </row>
    <row r="8" spans="1:17" ht="15" x14ac:dyDescent="0.2">
      <c r="A8" s="3"/>
      <c r="B8" s="2" t="str">
        <f>IF(Report!B11="","",Report!B11)</f>
        <v>Name</v>
      </c>
      <c r="C8" s="1007" t="str">
        <f>IF(Report!C11=0," ",Report!C11)</f>
        <v xml:space="preserve"> </v>
      </c>
      <c r="D8" s="1008"/>
      <c r="E8" s="319"/>
      <c r="F8" s="71"/>
      <c r="N8" s="253"/>
      <c r="O8" s="253"/>
      <c r="P8" s="253"/>
      <c r="Q8" s="253"/>
    </row>
    <row r="9" spans="1:17" ht="15.75" x14ac:dyDescent="0.25">
      <c r="A9" s="3"/>
      <c r="B9" s="2" t="s">
        <v>238</v>
      </c>
      <c r="C9" s="67" t="str">
        <f>IF(Report!C12=0," ",Report!C12)</f>
        <v xml:space="preserve"> </v>
      </c>
      <c r="D9" s="125"/>
      <c r="E9" s="262"/>
      <c r="F9" s="71"/>
      <c r="N9" s="253"/>
      <c r="O9" s="253"/>
      <c r="P9" s="253"/>
      <c r="Q9" s="253"/>
    </row>
    <row r="10" spans="1:17" ht="15" x14ac:dyDescent="0.2">
      <c r="A10" s="3"/>
      <c r="B10" s="18" t="s">
        <v>239</v>
      </c>
      <c r="C10" s="1009" t="str">
        <f>IF(Report!C25=0," ",Report!C25)</f>
        <v/>
      </c>
      <c r="D10" s="1010"/>
      <c r="E10" s="320"/>
      <c r="F10" s="71"/>
      <c r="N10" s="253"/>
      <c r="O10" s="253"/>
      <c r="P10" s="253"/>
      <c r="Q10" s="253"/>
    </row>
    <row r="11" spans="1:17" ht="15" x14ac:dyDescent="0.2">
      <c r="A11" s="976" t="s">
        <v>240</v>
      </c>
      <c r="B11" s="976"/>
      <c r="C11" s="1009" t="str">
        <f>IF(Report!J25=0," ",Report!J25)</f>
        <v/>
      </c>
      <c r="D11" s="1010"/>
      <c r="E11" s="320"/>
      <c r="F11" s="71"/>
      <c r="G11" s="71"/>
      <c r="H11" s="71"/>
      <c r="I11" s="71"/>
      <c r="J11" s="71"/>
      <c r="K11" s="71"/>
      <c r="L11" s="71"/>
      <c r="M11" s="71"/>
      <c r="N11" s="256"/>
      <c r="O11" s="256"/>
      <c r="P11" s="253"/>
      <c r="Q11" s="253"/>
    </row>
    <row r="12" spans="1:17" ht="15" x14ac:dyDescent="0.2">
      <c r="A12" s="3"/>
      <c r="B12" s="3"/>
      <c r="C12" s="71"/>
      <c r="D12" s="126"/>
      <c r="E12" s="77"/>
      <c r="F12" s="71"/>
      <c r="G12" s="71"/>
      <c r="H12" s="71"/>
      <c r="I12" s="71"/>
      <c r="J12" s="71"/>
      <c r="K12" s="71"/>
      <c r="L12" s="71"/>
      <c r="M12" s="71"/>
      <c r="N12" s="256"/>
      <c r="O12" s="256"/>
      <c r="P12" s="253"/>
      <c r="Q12" s="253"/>
    </row>
    <row r="13" spans="1:17" ht="15" x14ac:dyDescent="0.2">
      <c r="A13" s="3"/>
      <c r="B13" s="3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256"/>
      <c r="O13" s="256"/>
      <c r="P13" s="253"/>
      <c r="Q13" s="253"/>
    </row>
    <row r="14" spans="1:17" ht="15" x14ac:dyDescent="0.2">
      <c r="A14" s="3"/>
      <c r="B14" s="18" t="s">
        <v>673</v>
      </c>
      <c r="C14" s="302" t="str">
        <f>IF(Report!C21=0," ",Report!C21)</f>
        <v xml:space="preserve"> </v>
      </c>
      <c r="D14" s="317" t="str">
        <f>IF(Report!G32=0," ",Report!G32)</f>
        <v xml:space="preserve"> </v>
      </c>
      <c r="E14" s="365" t="s">
        <v>625</v>
      </c>
      <c r="F14" s="3"/>
      <c r="G14" s="62"/>
      <c r="I14" s="3"/>
      <c r="J14" s="66"/>
      <c r="K14" s="71"/>
      <c r="M14" s="256"/>
      <c r="N14" s="256"/>
      <c r="O14" s="253"/>
      <c r="P14" s="253"/>
    </row>
    <row r="15" spans="1:17" ht="15" x14ac:dyDescent="0.2">
      <c r="A15" s="3"/>
      <c r="D15" s="334" t="str">
        <f>IF(Report!D21=0,"",Report!D21)</f>
        <v/>
      </c>
      <c r="E15" s="366" t="s">
        <v>241</v>
      </c>
      <c r="F15" s="3"/>
      <c r="G15" s="62"/>
      <c r="I15" s="3"/>
      <c r="J15" s="263"/>
      <c r="K15" s="71"/>
      <c r="M15" s="256"/>
      <c r="N15" s="256"/>
      <c r="O15" s="253"/>
      <c r="P15" s="253"/>
    </row>
    <row r="16" spans="1:17" ht="15" x14ac:dyDescent="0.2">
      <c r="A16" s="3"/>
      <c r="B16" s="18" t="s">
        <v>242</v>
      </c>
      <c r="C16" s="301" t="str">
        <f>IF(Report!G5=0," ",Report!G5)</f>
        <v xml:space="preserve"> </v>
      </c>
      <c r="D16" s="318" t="e">
        <f>VLOOKUP($C$16,Report!H55:I75,2,FALSE)</f>
        <v>#N/A</v>
      </c>
      <c r="E16" s="354" t="s">
        <v>243</v>
      </c>
      <c r="F16" s="3"/>
      <c r="G16" s="264"/>
      <c r="I16" s="3"/>
      <c r="J16" s="66"/>
      <c r="K16" s="71"/>
      <c r="M16" s="256"/>
      <c r="N16" s="256"/>
      <c r="O16" s="253"/>
      <c r="P16" s="253"/>
    </row>
    <row r="17" spans="1:17" ht="15" x14ac:dyDescent="0.2">
      <c r="A17" s="71"/>
      <c r="B17" s="71"/>
      <c r="C17" s="71"/>
      <c r="D17" s="701" t="e">
        <f>IF(D14*D22=0,"",((D15*D14*1000)/D16)/D22)</f>
        <v>#VALUE!</v>
      </c>
      <c r="E17" s="354" t="s">
        <v>244</v>
      </c>
      <c r="F17" s="3"/>
      <c r="G17" s="264"/>
      <c r="I17" s="3"/>
      <c r="J17" s="265"/>
      <c r="K17" s="71"/>
      <c r="M17" s="256"/>
      <c r="N17" s="256"/>
      <c r="O17" s="253"/>
      <c r="P17" s="253"/>
    </row>
    <row r="18" spans="1:17" ht="15" x14ac:dyDescent="0.2">
      <c r="A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256"/>
      <c r="O18" s="256"/>
      <c r="P18" s="253"/>
      <c r="Q18" s="253"/>
    </row>
    <row r="19" spans="1:17" ht="15" x14ac:dyDescent="0.2">
      <c r="A19" s="71"/>
      <c r="B19" s="282"/>
      <c r="C19" s="77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256"/>
      <c r="O19" s="256"/>
      <c r="P19" s="253"/>
      <c r="Q19" s="253"/>
    </row>
    <row r="20" spans="1:17" ht="15.75" thickBo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256"/>
      <c r="O20" s="256"/>
      <c r="P20" s="253"/>
      <c r="Q20" s="253"/>
    </row>
    <row r="21" spans="1:17" ht="66" customHeight="1" thickBot="1" x14ac:dyDescent="0.4">
      <c r="A21" s="71"/>
      <c r="B21" s="269" t="s">
        <v>245</v>
      </c>
      <c r="C21" s="789" t="s">
        <v>634</v>
      </c>
      <c r="D21" s="1222" t="s">
        <v>632</v>
      </c>
      <c r="E21" s="278"/>
      <c r="F21" s="279"/>
      <c r="G21" s="279"/>
      <c r="H21" s="275"/>
      <c r="I21" s="276"/>
      <c r="J21" s="277"/>
      <c r="K21" s="276"/>
      <c r="L21" s="652" t="s">
        <v>246</v>
      </c>
      <c r="M21" s="76" t="s">
        <v>247</v>
      </c>
      <c r="N21" s="268" t="s">
        <v>248</v>
      </c>
      <c r="O21" s="269" t="s">
        <v>249</v>
      </c>
      <c r="P21" s="268" t="s">
        <v>250</v>
      </c>
      <c r="Q21" s="253"/>
    </row>
    <row r="22" spans="1:17" ht="16.5" thickTop="1" x14ac:dyDescent="0.25">
      <c r="A22" s="71"/>
      <c r="B22" s="589" t="s">
        <v>251</v>
      </c>
      <c r="C22" s="590" t="str">
        <f>IF(Report!$C$12=0,"",C9*'Dilution series B'!D22)</f>
        <v/>
      </c>
      <c r="D22" s="590" t="str">
        <f>IF(Report!C12=0,"",Report!C14)</f>
        <v/>
      </c>
      <c r="E22" s="787" t="s">
        <v>633</v>
      </c>
      <c r="F22" s="565" t="str">
        <f>IF(D$14="","",D$14)</f>
        <v xml:space="preserve"> </v>
      </c>
      <c r="G22" s="566" t="s">
        <v>252</v>
      </c>
      <c r="H22" s="591" t="e">
        <f>IF(D$14*D22*D15*D16=0,"0",(IF(D22="","",(N22/D17))))</f>
        <v>#VALUE!</v>
      </c>
      <c r="I22" s="592" t="s">
        <v>253</v>
      </c>
      <c r="J22" s="650" t="str">
        <f>IF(D15=0,"",D15&amp;" ng/µl")</f>
        <v xml:space="preserve"> ng/µl</v>
      </c>
      <c r="K22" s="568" t="s">
        <v>254</v>
      </c>
      <c r="L22" s="656" t="e">
        <f>N22-H22</f>
        <v>#VALUE!</v>
      </c>
      <c r="M22" s="569">
        <v>6</v>
      </c>
      <c r="N22" s="308" t="e">
        <f>ROUNDUP((D$14*M22+H23)*20/100+D$14*M22+H23,0)</f>
        <v>#VALUE!</v>
      </c>
      <c r="O22" s="85" t="e">
        <f>N22-H23</f>
        <v>#VALUE!</v>
      </c>
      <c r="P22" s="367" t="e">
        <f>D15/D17</f>
        <v>#VALUE!</v>
      </c>
      <c r="Q22" s="253"/>
    </row>
    <row r="23" spans="1:17" ht="15.75" x14ac:dyDescent="0.25">
      <c r="A23" s="81"/>
      <c r="B23" s="78" t="s">
        <v>255</v>
      </c>
      <c r="C23" s="493" t="str">
        <f>IF(Report!$C$12=0,"",C9*'Dilution series B'!D23)</f>
        <v/>
      </c>
      <c r="D23" s="137" t="str">
        <f>IF(Report!C12=0,"",Report!C15)</f>
        <v/>
      </c>
      <c r="E23" s="79" t="s">
        <v>633</v>
      </c>
      <c r="F23" s="80" t="str">
        <f>IF(D$14="","",D$14)</f>
        <v xml:space="preserve"> </v>
      </c>
      <c r="G23" s="273" t="s">
        <v>256</v>
      </c>
      <c r="H23" s="352" t="e">
        <f>D23/D22*N23</f>
        <v>#VALUE!</v>
      </c>
      <c r="I23" s="259" t="s">
        <v>257</v>
      </c>
      <c r="J23" s="335" t="str">
        <f>IF(D23="","",B22)</f>
        <v/>
      </c>
      <c r="K23" s="267" t="s">
        <v>258</v>
      </c>
      <c r="L23" s="654" t="e">
        <f>N23-H23</f>
        <v>#VALUE!</v>
      </c>
      <c r="M23" s="309">
        <v>6</v>
      </c>
      <c r="N23" s="308" t="e">
        <f>ROUNDUP((D$14*M23+H24)*20/100+D$14*M23+H24,0)</f>
        <v>#VALUE!</v>
      </c>
      <c r="O23" s="368" t="e">
        <f>N23-H24</f>
        <v>#VALUE!</v>
      </c>
      <c r="P23" s="369"/>
      <c r="Q23" s="253"/>
    </row>
    <row r="24" spans="1:17" ht="15.75" x14ac:dyDescent="0.25">
      <c r="A24" s="81"/>
      <c r="B24" s="589" t="s">
        <v>259</v>
      </c>
      <c r="C24" s="590" t="str">
        <f>IF(OR(Report!$C$12=0,D24="Wert angeben!"),"",C9*'Dilution series B'!D24)</f>
        <v/>
      </c>
      <c r="D24" s="590" t="str">
        <f>IF(Report!C12=0,"",Report!C16)</f>
        <v/>
      </c>
      <c r="E24" s="570" t="s">
        <v>633</v>
      </c>
      <c r="F24" s="565" t="str">
        <f>IF(D$14="","",D$14)</f>
        <v xml:space="preserve"> </v>
      </c>
      <c r="G24" s="566" t="s">
        <v>260</v>
      </c>
      <c r="H24" s="567" t="e">
        <f>D24/D23*N24</f>
        <v>#VALUE!</v>
      </c>
      <c r="I24" s="592" t="s">
        <v>261</v>
      </c>
      <c r="J24" s="571" t="str">
        <f>IF(D24="","",B23)</f>
        <v/>
      </c>
      <c r="K24" s="568" t="s">
        <v>262</v>
      </c>
      <c r="L24" s="656" t="e">
        <f>N24-H24</f>
        <v>#VALUE!</v>
      </c>
      <c r="M24" s="572">
        <v>6</v>
      </c>
      <c r="N24" s="308" t="e">
        <f>ROUNDUP((D$14*M24+H25)*20/100+D$14*M24+H25,0)</f>
        <v>#VALUE!</v>
      </c>
      <c r="O24" s="368" t="e">
        <f>N24-H25</f>
        <v>#VALUE!</v>
      </c>
      <c r="P24" s="369"/>
      <c r="Q24" s="253"/>
    </row>
    <row r="25" spans="1:17" ht="15.75" x14ac:dyDescent="0.25">
      <c r="A25" s="81"/>
      <c r="B25" s="78" t="s">
        <v>263</v>
      </c>
      <c r="C25" s="493" t="str">
        <f>IF(Report!$C$12=0,"",C9*'Dilution series B'!D25)</f>
        <v/>
      </c>
      <c r="D25" s="138" t="str">
        <f>IF(Report!C12=0,"",Report!C17)</f>
        <v/>
      </c>
      <c r="E25" s="79" t="s">
        <v>633</v>
      </c>
      <c r="F25" s="80" t="str">
        <f>IF(D$14="","",D$14)</f>
        <v xml:space="preserve"> </v>
      </c>
      <c r="G25" s="273" t="s">
        <v>264</v>
      </c>
      <c r="H25" s="352" t="e">
        <f>D25/D24*N25</f>
        <v>#VALUE!</v>
      </c>
      <c r="I25" s="259" t="s">
        <v>265</v>
      </c>
      <c r="J25" s="335" t="str">
        <f>IF(D25="","",B24)</f>
        <v/>
      </c>
      <c r="K25" s="267" t="s">
        <v>266</v>
      </c>
      <c r="L25" s="654" t="e">
        <f>N25-H25</f>
        <v>#VALUE!</v>
      </c>
      <c r="M25" s="309">
        <v>6</v>
      </c>
      <c r="N25" s="308" t="e">
        <f>ROUNDUP((D$14*M25+H26)*20/100+D$14*M25+H26,0)</f>
        <v>#VALUE!</v>
      </c>
      <c r="O25" s="368" t="e">
        <f>N25-H26</f>
        <v>#VALUE!</v>
      </c>
      <c r="P25" s="369"/>
      <c r="Q25" s="253"/>
    </row>
    <row r="26" spans="1:17" ht="16.5" thickBot="1" x14ac:dyDescent="0.3">
      <c r="A26" s="81"/>
      <c r="B26" s="589" t="s">
        <v>267</v>
      </c>
      <c r="C26" s="590" t="str">
        <f>IF(Report!$C$12=0,"",C9*'Dilution series B'!D26)</f>
        <v/>
      </c>
      <c r="D26" s="590" t="str">
        <f>IF(Report!C12=0,"",Report!C18)</f>
        <v/>
      </c>
      <c r="E26" s="570" t="s">
        <v>633</v>
      </c>
      <c r="F26" s="565" t="str">
        <f>IF(D$14="","",D$14)</f>
        <v xml:space="preserve"> </v>
      </c>
      <c r="G26" s="566" t="s">
        <v>268</v>
      </c>
      <c r="H26" s="573" t="e">
        <f>D26/D25*N26</f>
        <v>#VALUE!</v>
      </c>
      <c r="I26" s="593" t="s">
        <v>269</v>
      </c>
      <c r="J26" s="574" t="str">
        <f>IF(D26="","",B25)</f>
        <v/>
      </c>
      <c r="K26" s="575" t="s">
        <v>270</v>
      </c>
      <c r="L26" s="657" t="e">
        <f>N26-H26</f>
        <v>#VALUE!</v>
      </c>
      <c r="M26" s="576">
        <v>6</v>
      </c>
      <c r="N26" s="308" t="e">
        <f>(D$14*M26)*20/100+D$14*M26</f>
        <v>#VALUE!</v>
      </c>
      <c r="O26" s="368" t="e">
        <f>N26</f>
        <v>#VALUE!</v>
      </c>
      <c r="P26" s="369"/>
      <c r="Q26" s="253"/>
    </row>
    <row r="27" spans="1:17" ht="15.75" thickTop="1" x14ac:dyDescent="0.2">
      <c r="A27" s="71"/>
      <c r="B27" s="135"/>
      <c r="C27" s="136"/>
      <c r="D27" s="77"/>
      <c r="E27" s="77"/>
      <c r="F27" s="82"/>
      <c r="G27" s="83"/>
      <c r="H27" s="77"/>
      <c r="I27" s="77"/>
      <c r="J27" s="77"/>
      <c r="K27" s="84"/>
      <c r="L27" s="321" t="e">
        <f>SUM(L22:L26)</f>
        <v>#VALUE!</v>
      </c>
      <c r="M27" s="322" t="s">
        <v>271</v>
      </c>
      <c r="N27" s="256"/>
      <c r="O27" s="256"/>
      <c r="P27" s="253"/>
      <c r="Q27" s="253"/>
    </row>
    <row r="28" spans="1:17" ht="14.25" customHeight="1" x14ac:dyDescent="0.2"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</row>
    <row r="29" spans="1:17" x14ac:dyDescent="0.2">
      <c r="C29" s="257"/>
      <c r="D29" s="385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</row>
    <row r="30" spans="1:17" x14ac:dyDescent="0.2">
      <c r="B30" s="253"/>
      <c r="C30" s="258"/>
      <c r="D30" s="253"/>
      <c r="G30" s="253"/>
      <c r="I30" s="253"/>
      <c r="J30" s="253"/>
      <c r="K30" s="253"/>
      <c r="O30" s="253"/>
      <c r="P30" s="253"/>
      <c r="Q30" s="253"/>
    </row>
    <row r="31" spans="1:17" x14ac:dyDescent="0.2">
      <c r="B31" s="253"/>
      <c r="C31" s="258"/>
      <c r="D31" s="253"/>
      <c r="G31" s="253"/>
      <c r="H31" s="253"/>
      <c r="I31" s="253"/>
      <c r="J31" s="253"/>
      <c r="K31" s="253"/>
      <c r="L31" s="253"/>
      <c r="O31" s="253"/>
      <c r="P31" s="253"/>
      <c r="Q31" s="253"/>
    </row>
    <row r="32" spans="1:17" x14ac:dyDescent="0.2">
      <c r="B32" s="253"/>
      <c r="C32" s="258"/>
      <c r="D32" s="254"/>
      <c r="G32" s="253"/>
      <c r="H32" s="253"/>
      <c r="I32" s="253"/>
      <c r="J32" s="253"/>
      <c r="K32" s="253"/>
      <c r="L32" s="253"/>
      <c r="O32" s="253"/>
      <c r="P32" s="253"/>
      <c r="Q32" s="253"/>
    </row>
    <row r="33" spans="2:17" x14ac:dyDescent="0.2">
      <c r="B33" s="253"/>
      <c r="C33" s="258"/>
      <c r="D33" s="253"/>
      <c r="G33" s="253"/>
      <c r="H33" s="253"/>
      <c r="I33" s="253"/>
      <c r="J33" s="253"/>
      <c r="K33" s="253"/>
      <c r="L33" s="253"/>
      <c r="O33" s="253"/>
      <c r="P33" s="253"/>
      <c r="Q33" s="253"/>
    </row>
    <row r="34" spans="2:17" s="104" customFormat="1" x14ac:dyDescent="0.2">
      <c r="B34" s="255"/>
      <c r="C34" s="271"/>
      <c r="D34" s="255"/>
      <c r="G34" s="255"/>
      <c r="H34" s="255"/>
      <c r="I34" s="255"/>
      <c r="J34" s="255"/>
      <c r="K34" s="255"/>
      <c r="L34" s="255"/>
      <c r="O34" s="255"/>
      <c r="P34" s="255"/>
      <c r="Q34" s="255"/>
    </row>
    <row r="35" spans="2:17" x14ac:dyDescent="0.2">
      <c r="B35" s="253"/>
      <c r="C35" s="258"/>
      <c r="D35" s="253"/>
      <c r="G35" s="253"/>
      <c r="H35" s="253"/>
      <c r="I35" s="253"/>
      <c r="J35" s="253"/>
      <c r="K35" s="253"/>
      <c r="L35" s="253"/>
      <c r="O35" s="253"/>
      <c r="P35" s="253"/>
      <c r="Q35" s="253"/>
    </row>
    <row r="36" spans="2:17" x14ac:dyDescent="0.2">
      <c r="B36" s="253"/>
      <c r="C36" s="258"/>
      <c r="D36" s="253"/>
      <c r="G36" s="253"/>
      <c r="H36" s="253"/>
      <c r="I36" s="253"/>
      <c r="J36" s="253"/>
      <c r="K36" s="253"/>
      <c r="L36" s="253"/>
      <c r="O36" s="253"/>
      <c r="P36" s="253"/>
      <c r="Q36" s="253"/>
    </row>
    <row r="37" spans="2:17" x14ac:dyDescent="0.2">
      <c r="B37" s="253"/>
      <c r="C37" s="258"/>
      <c r="D37" s="253"/>
      <c r="G37" s="253"/>
      <c r="H37" s="253"/>
      <c r="I37" s="253"/>
      <c r="J37" s="253"/>
      <c r="K37" s="253"/>
      <c r="L37" s="253"/>
      <c r="O37" s="253"/>
      <c r="P37" s="253"/>
      <c r="Q37" s="253"/>
    </row>
    <row r="38" spans="2:17" x14ac:dyDescent="0.2"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</row>
    <row r="39" spans="2:17" x14ac:dyDescent="0.2"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</row>
    <row r="40" spans="2:17" x14ac:dyDescent="0.2">
      <c r="C40" s="253"/>
      <c r="D40" s="253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</row>
    <row r="41" spans="2:17" x14ac:dyDescent="0.2"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</row>
    <row r="42" spans="2:17" x14ac:dyDescent="0.2"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</row>
    <row r="43" spans="2:17" x14ac:dyDescent="0.2">
      <c r="C43" s="253"/>
      <c r="D43" s="253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</row>
    <row r="44" spans="2:17" x14ac:dyDescent="0.2"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</row>
    <row r="45" spans="2:17" x14ac:dyDescent="0.2"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</row>
    <row r="46" spans="2:17" x14ac:dyDescent="0.2"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</row>
    <row r="47" spans="2:17" x14ac:dyDescent="0.2"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53"/>
      <c r="Q47" s="253"/>
    </row>
    <row r="48" spans="2:17" x14ac:dyDescent="0.2"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</row>
    <row r="49" spans="3:17" x14ac:dyDescent="0.2"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</row>
    <row r="50" spans="3:17" x14ac:dyDescent="0.2"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</row>
  </sheetData>
  <sheetProtection password="C5DD" sheet="1" objects="1" scenarios="1" formatCells="0" formatColumns="0" formatRows="0"/>
  <mergeCells count="4">
    <mergeCell ref="A11:B11"/>
    <mergeCell ref="C8:D8"/>
    <mergeCell ref="C10:D10"/>
    <mergeCell ref="C11:D11"/>
  </mergeCells>
  <phoneticPr fontId="27" type="noConversion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>
    <oddHeader>&amp;L&amp;A&amp;C&amp;U&amp;F&amp;R&amp;D</oddHeader>
    <oddFooter>&amp;LVersion of 19/05/2016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2:P41"/>
  <sheetViews>
    <sheetView zoomScale="85" zoomScaleNormal="85" workbookViewId="0">
      <selection activeCell="B3" sqref="B3"/>
    </sheetView>
  </sheetViews>
  <sheetFormatPr baseColWidth="10" defaultRowHeight="12.75" x14ac:dyDescent="0.2"/>
  <cols>
    <col min="1" max="1" width="9" style="61" customWidth="1"/>
    <col min="2" max="2" width="11.42578125" style="61"/>
    <col min="3" max="3" width="16.42578125" style="61" customWidth="1"/>
    <col min="4" max="4" width="17.85546875" style="61" customWidth="1"/>
    <col min="5" max="5" width="5.5703125" style="61" customWidth="1"/>
    <col min="6" max="6" width="4.5703125" style="61" customWidth="1"/>
    <col min="7" max="7" width="5.42578125" style="61" customWidth="1"/>
    <col min="8" max="8" width="10.7109375" style="61" customWidth="1"/>
    <col min="9" max="9" width="8.42578125" style="61" customWidth="1"/>
    <col min="10" max="10" width="13.28515625" style="61" customWidth="1"/>
    <col min="11" max="11" width="4" style="61" customWidth="1"/>
    <col min="12" max="12" width="9" style="61" customWidth="1"/>
    <col min="13" max="13" width="13" style="61" customWidth="1"/>
    <col min="14" max="14" width="14.5703125" style="61" customWidth="1"/>
    <col min="15" max="15" width="15.5703125" style="61" customWidth="1"/>
    <col min="16" max="16" width="16.7109375" style="61" customWidth="1"/>
    <col min="17" max="16384" width="11.42578125" style="61"/>
  </cols>
  <sheetData>
    <row r="2" spans="1:15" x14ac:dyDescent="0.2">
      <c r="A2" s="15" t="s">
        <v>272</v>
      </c>
      <c r="B2" s="60" t="str">
        <f>IF(Report!K5=0," ",Report!K5)</f>
        <v xml:space="preserve"> </v>
      </c>
      <c r="C2" s="58"/>
    </row>
    <row r="3" spans="1:15" x14ac:dyDescent="0.2">
      <c r="A3" s="18" t="s">
        <v>273</v>
      </c>
      <c r="B3" s="429"/>
      <c r="C3" s="58"/>
    </row>
    <row r="4" spans="1:15" x14ac:dyDescent="0.2">
      <c r="A4" s="18"/>
      <c r="B4" s="62"/>
      <c r="C4" s="58"/>
    </row>
    <row r="5" spans="1:15" ht="15.75" x14ac:dyDescent="0.25">
      <c r="A5" s="251"/>
      <c r="B5" s="11" t="s">
        <v>274</v>
      </c>
      <c r="C5" s="251"/>
      <c r="D5" s="251"/>
      <c r="E5" s="251"/>
      <c r="F5" s="251"/>
      <c r="G5" s="252"/>
      <c r="H5" s="252"/>
      <c r="I5" s="252"/>
      <c r="J5" s="252"/>
      <c r="K5" s="252"/>
      <c r="L5" s="252"/>
      <c r="M5" s="252"/>
    </row>
    <row r="6" spans="1:15" x14ac:dyDescent="0.2">
      <c r="N6" s="104"/>
    </row>
    <row r="7" spans="1:15" ht="15" x14ac:dyDescent="0.2">
      <c r="A7" s="3"/>
      <c r="B7" s="2" t="str">
        <f>IF(Report!B10="","",Report!B10)</f>
        <v>S/N</v>
      </c>
      <c r="C7" s="300" t="str">
        <f>IF(Report!C10=0," ",Report!C10)</f>
        <v xml:space="preserve"> </v>
      </c>
      <c r="D7" s="329"/>
      <c r="E7" s="328"/>
      <c r="F7" s="71"/>
    </row>
    <row r="8" spans="1:15" ht="15" x14ac:dyDescent="0.2">
      <c r="A8" s="3"/>
      <c r="B8" s="2" t="str">
        <f>IF(Report!B11="","",Report!B11)</f>
        <v>Name</v>
      </c>
      <c r="C8" s="1011" t="str">
        <f>IF(Report!C11=0," ",Report!C11)</f>
        <v xml:space="preserve"> </v>
      </c>
      <c r="D8" s="1012"/>
      <c r="E8" s="327"/>
      <c r="F8" s="71"/>
    </row>
    <row r="9" spans="1:15" ht="15.75" x14ac:dyDescent="0.25">
      <c r="A9" s="3"/>
      <c r="B9" s="2" t="s">
        <v>275</v>
      </c>
      <c r="C9" s="67" t="str">
        <f>IF(Report!C12=0," ",Report!C12)</f>
        <v xml:space="preserve"> </v>
      </c>
      <c r="D9" s="125"/>
      <c r="E9" s="262"/>
      <c r="F9" s="71"/>
    </row>
    <row r="10" spans="1:15" ht="15" x14ac:dyDescent="0.2">
      <c r="A10" s="3"/>
      <c r="B10" s="18" t="s">
        <v>276</v>
      </c>
      <c r="C10" s="1009" t="str">
        <f>IF(Report!C25=0," ",Report!C25)</f>
        <v/>
      </c>
      <c r="D10" s="1010"/>
      <c r="E10" s="320"/>
      <c r="F10" s="71"/>
    </row>
    <row r="11" spans="1:15" ht="15" x14ac:dyDescent="0.2">
      <c r="A11" s="976" t="s">
        <v>277</v>
      </c>
      <c r="B11" s="976"/>
      <c r="C11" s="1009" t="str">
        <f>IF(Report!J25=0," ",Report!J25)</f>
        <v/>
      </c>
      <c r="D11" s="1010"/>
      <c r="E11" s="320"/>
      <c r="F11" s="71"/>
      <c r="G11" s="71"/>
      <c r="H11" s="71"/>
      <c r="I11" s="71"/>
      <c r="J11" s="71"/>
      <c r="K11" s="71"/>
      <c r="L11" s="71"/>
      <c r="M11" s="71"/>
      <c r="N11" s="71"/>
      <c r="O11" s="71"/>
    </row>
    <row r="12" spans="1:15" ht="15" x14ac:dyDescent="0.2">
      <c r="A12" s="3"/>
      <c r="B12" s="3"/>
      <c r="C12" s="71"/>
      <c r="D12" s="126"/>
      <c r="E12" s="77"/>
      <c r="F12" s="71"/>
      <c r="G12" s="71"/>
      <c r="H12" s="71"/>
      <c r="I12" s="71"/>
      <c r="J12" s="71"/>
      <c r="K12" s="71"/>
      <c r="L12" s="71"/>
      <c r="M12" s="71"/>
      <c r="N12" s="71"/>
      <c r="O12" s="71"/>
    </row>
    <row r="13" spans="1:15" ht="15" x14ac:dyDescent="0.2">
      <c r="A13" s="3"/>
      <c r="B13" s="3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ht="15" x14ac:dyDescent="0.2">
      <c r="A14" s="3"/>
      <c r="B14" s="18" t="s">
        <v>674</v>
      </c>
      <c r="C14" s="302" t="str">
        <f>IF(Report!C22=0," ",Report!C22)</f>
        <v xml:space="preserve"> </v>
      </c>
      <c r="D14" s="317" t="str">
        <f>IF(Report!G32=0," ",Report!G32)</f>
        <v xml:space="preserve"> </v>
      </c>
      <c r="E14" s="365" t="s">
        <v>278</v>
      </c>
      <c r="F14" s="330"/>
      <c r="H14" s="3"/>
      <c r="I14" s="58"/>
      <c r="K14" s="71"/>
      <c r="L14" s="71"/>
      <c r="N14" s="71"/>
      <c r="O14" s="71"/>
    </row>
    <row r="15" spans="1:15" ht="15" x14ac:dyDescent="0.2">
      <c r="A15" s="3"/>
      <c r="D15" s="334" t="str">
        <f>IF(Report!D22=0,"",Report!D22)</f>
        <v/>
      </c>
      <c r="E15" s="148" t="s">
        <v>279</v>
      </c>
      <c r="F15" s="331"/>
      <c r="H15" s="3"/>
      <c r="I15" s="58"/>
      <c r="K15" s="72"/>
      <c r="L15" s="71"/>
      <c r="N15" s="71"/>
      <c r="O15" s="71"/>
    </row>
    <row r="16" spans="1:15" ht="15" x14ac:dyDescent="0.2">
      <c r="A16" s="3"/>
      <c r="B16" s="18" t="s">
        <v>280</v>
      </c>
      <c r="C16" s="301" t="str">
        <f>IF(Report!G5=0," ",Report!G5)</f>
        <v xml:space="preserve"> </v>
      </c>
      <c r="D16" s="318" t="e">
        <f>VLOOKUP($C$16,Report!H55:I75,2,FALSE)</f>
        <v>#N/A</v>
      </c>
      <c r="E16" s="127" t="s">
        <v>281</v>
      </c>
      <c r="F16" s="332"/>
      <c r="H16" s="3"/>
      <c r="I16" s="22"/>
      <c r="K16" s="71"/>
      <c r="L16" s="71"/>
      <c r="N16" s="71"/>
      <c r="O16" s="71"/>
    </row>
    <row r="17" spans="1:16" ht="15" x14ac:dyDescent="0.2">
      <c r="A17" s="71"/>
      <c r="B17" s="71"/>
      <c r="C17" s="71"/>
      <c r="D17" s="701" t="e">
        <f>IF(D14*D22=0,"",((D15*D14*1000)/D16)/D22)</f>
        <v>#VALUE!</v>
      </c>
      <c r="E17" s="127" t="s">
        <v>282</v>
      </c>
      <c r="F17" s="332"/>
      <c r="H17" s="3"/>
      <c r="I17" s="22"/>
      <c r="K17" s="73"/>
      <c r="L17" s="71"/>
      <c r="N17" s="71"/>
      <c r="O17" s="71"/>
    </row>
    <row r="18" spans="1:16" ht="15" x14ac:dyDescent="0.2">
      <c r="A18" s="71"/>
      <c r="B18" s="71"/>
      <c r="C18" s="71"/>
      <c r="D18" s="336"/>
      <c r="E18" s="66"/>
      <c r="F18" s="332"/>
      <c r="H18" s="3"/>
      <c r="I18" s="22"/>
      <c r="K18" s="73"/>
      <c r="L18" s="71"/>
      <c r="N18" s="71"/>
      <c r="O18" s="71"/>
    </row>
    <row r="19" spans="1:16" ht="15" x14ac:dyDescent="0.2">
      <c r="A19" s="71"/>
      <c r="B19" s="282"/>
      <c r="C19" s="77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6" ht="15.75" thickBo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6" ht="66" customHeight="1" thickBot="1" x14ac:dyDescent="0.4">
      <c r="A21" s="71"/>
      <c r="B21" s="269" t="s">
        <v>283</v>
      </c>
      <c r="C21" s="789" t="s">
        <v>634</v>
      </c>
      <c r="D21" s="1222" t="s">
        <v>632</v>
      </c>
      <c r="E21" s="323"/>
      <c r="F21" s="324"/>
      <c r="G21" s="324"/>
      <c r="H21" s="325"/>
      <c r="I21" s="326"/>
      <c r="J21" s="277"/>
      <c r="K21" s="326"/>
      <c r="L21" s="637" t="s">
        <v>284</v>
      </c>
      <c r="M21" s="76" t="s">
        <v>285</v>
      </c>
      <c r="N21" s="268" t="s">
        <v>286</v>
      </c>
      <c r="O21" s="269" t="s">
        <v>287</v>
      </c>
      <c r="P21" s="268" t="s">
        <v>288</v>
      </c>
    </row>
    <row r="22" spans="1:16" ht="16.5" thickTop="1" x14ac:dyDescent="0.25">
      <c r="A22" s="71"/>
      <c r="B22" s="614" t="s">
        <v>289</v>
      </c>
      <c r="C22" s="615" t="str">
        <f>IF(Report!$C$12=0,"",C9*'Dilution series B'!D22)</f>
        <v/>
      </c>
      <c r="D22" s="615" t="str">
        <f>IF(Report!C12=0,"",Report!C14)</f>
        <v/>
      </c>
      <c r="E22" s="788" t="s">
        <v>633</v>
      </c>
      <c r="F22" s="577" t="str">
        <f>IF(D$14="","",D$14)</f>
        <v xml:space="preserve"> </v>
      </c>
      <c r="G22" s="578" t="s">
        <v>290</v>
      </c>
      <c r="H22" s="616" t="e">
        <f>IF(D$14*D22*D15*D16=0,"0",(IF(D22="","",(N22/D17))))</f>
        <v>#VALUE!</v>
      </c>
      <c r="I22" s="617" t="s">
        <v>291</v>
      </c>
      <c r="J22" s="650" t="str">
        <f>IF(D15=0,"",D15&amp;" ng/µl")</f>
        <v xml:space="preserve"> ng/µl</v>
      </c>
      <c r="K22" s="580" t="s">
        <v>292</v>
      </c>
      <c r="L22" s="639" t="e">
        <f>(N22-H22)</f>
        <v>#VALUE!</v>
      </c>
      <c r="M22" s="581">
        <v>6</v>
      </c>
      <c r="N22" s="308" t="e">
        <f>ROUNDUP((D$14*M22+H23)*20/100+D$14*M22+H23,0)</f>
        <v>#VALUE!</v>
      </c>
      <c r="O22" s="85" t="e">
        <f>N22-H23</f>
        <v>#VALUE!</v>
      </c>
      <c r="P22" s="367" t="e">
        <f>D15/D17</f>
        <v>#VALUE!</v>
      </c>
    </row>
    <row r="23" spans="1:16" ht="15.75" x14ac:dyDescent="0.25">
      <c r="A23" s="81"/>
      <c r="B23" s="78" t="s">
        <v>293</v>
      </c>
      <c r="C23" s="493" t="str">
        <f>IF(Report!$C$12=0,"",C9*'Dilution series B'!D23)</f>
        <v/>
      </c>
      <c r="D23" s="137" t="str">
        <f>IF(Report!C12=0,"",Report!C15)</f>
        <v/>
      </c>
      <c r="E23" s="79" t="s">
        <v>633</v>
      </c>
      <c r="F23" s="80" t="str">
        <f>IF(D$14="","",D$14)</f>
        <v xml:space="preserve"> </v>
      </c>
      <c r="G23" s="273" t="s">
        <v>294</v>
      </c>
      <c r="H23" s="352" t="e">
        <f>D23/D22*N23</f>
        <v>#VALUE!</v>
      </c>
      <c r="I23" s="259" t="s">
        <v>295</v>
      </c>
      <c r="J23" s="335" t="str">
        <f>IF(D23="","",B22)</f>
        <v/>
      </c>
      <c r="K23" s="267" t="s">
        <v>296</v>
      </c>
      <c r="L23" s="638" t="e">
        <f>(N23-H23)</f>
        <v>#VALUE!</v>
      </c>
      <c r="M23" s="309">
        <v>6</v>
      </c>
      <c r="N23" s="308" t="e">
        <f>ROUNDUP((D$14*M23+H24)*20/100+D$14*M23+H24,0)</f>
        <v>#VALUE!</v>
      </c>
      <c r="O23" s="85" t="e">
        <f>N23-H24</f>
        <v>#VALUE!</v>
      </c>
      <c r="P23" s="266"/>
    </row>
    <row r="24" spans="1:16" ht="15.75" x14ac:dyDescent="0.25">
      <c r="A24" s="81"/>
      <c r="B24" s="614" t="s">
        <v>297</v>
      </c>
      <c r="C24" s="615" t="str">
        <f>IF(OR(Report!$C$12=0,D24="Wert angeben!"),"",C9*'Dilution series B'!D24)</f>
        <v/>
      </c>
      <c r="D24" s="615" t="str">
        <f>IF(Report!C12=0,"",Report!C16)</f>
        <v/>
      </c>
      <c r="E24" s="582" t="s">
        <v>633</v>
      </c>
      <c r="F24" s="577" t="str">
        <f>IF(D$14="","",D$14)</f>
        <v xml:space="preserve"> </v>
      </c>
      <c r="G24" s="578" t="s">
        <v>298</v>
      </c>
      <c r="H24" s="579" t="e">
        <f>D24/D23*N24</f>
        <v>#VALUE!</v>
      </c>
      <c r="I24" s="617" t="s">
        <v>299</v>
      </c>
      <c r="J24" s="583" t="str">
        <f>IF(D24="","",B23)</f>
        <v/>
      </c>
      <c r="K24" s="580" t="s">
        <v>300</v>
      </c>
      <c r="L24" s="640" t="e">
        <f>(N24-H24)</f>
        <v>#VALUE!</v>
      </c>
      <c r="M24" s="584">
        <v>6</v>
      </c>
      <c r="N24" s="308" t="e">
        <f>ROUNDUP((D$14*M24+H25)*20/100+D$14*M24+H25,0)</f>
        <v>#VALUE!</v>
      </c>
      <c r="O24" s="85" t="e">
        <f>N24-H25</f>
        <v>#VALUE!</v>
      </c>
      <c r="P24" s="266"/>
    </row>
    <row r="25" spans="1:16" ht="15.75" x14ac:dyDescent="0.25">
      <c r="A25" s="81"/>
      <c r="B25" s="78" t="s">
        <v>301</v>
      </c>
      <c r="C25" s="493" t="str">
        <f>IF(Report!$C$12=0,"",C9*'Dilution series B'!D25)</f>
        <v/>
      </c>
      <c r="D25" s="138" t="str">
        <f>IF(Report!C12=0,"",Report!C17)</f>
        <v/>
      </c>
      <c r="E25" s="79" t="s">
        <v>633</v>
      </c>
      <c r="F25" s="80" t="str">
        <f>IF(D$14="","",D$14)</f>
        <v xml:space="preserve"> </v>
      </c>
      <c r="G25" s="273" t="s">
        <v>302</v>
      </c>
      <c r="H25" s="352" t="e">
        <f>D25/D24*N25</f>
        <v>#VALUE!</v>
      </c>
      <c r="I25" s="259" t="s">
        <v>303</v>
      </c>
      <c r="J25" s="335" t="str">
        <f>IF(D25="","",B24)</f>
        <v/>
      </c>
      <c r="K25" s="267" t="s">
        <v>304</v>
      </c>
      <c r="L25" s="638" t="e">
        <f>(N25-H25)</f>
        <v>#VALUE!</v>
      </c>
      <c r="M25" s="309">
        <v>6</v>
      </c>
      <c r="N25" s="308" t="e">
        <f>ROUNDUP((D$14*M25+H26)*20/100+D$14*M25+H26,0)</f>
        <v>#VALUE!</v>
      </c>
      <c r="O25" s="85" t="e">
        <f>N25-H26</f>
        <v>#VALUE!</v>
      </c>
      <c r="P25" s="266"/>
    </row>
    <row r="26" spans="1:16" ht="16.5" thickBot="1" x14ac:dyDescent="0.3">
      <c r="A26" s="81"/>
      <c r="B26" s="614" t="s">
        <v>305</v>
      </c>
      <c r="C26" s="615" t="str">
        <f>IF(Report!$C$12=0,"",C9*'Dilution series B'!D26)</f>
        <v/>
      </c>
      <c r="D26" s="615" t="str">
        <f>IF(Report!C12=0,"",Report!C18)</f>
        <v/>
      </c>
      <c r="E26" s="582" t="s">
        <v>633</v>
      </c>
      <c r="F26" s="577" t="str">
        <f>IF(D$14="","",D$14)</f>
        <v xml:space="preserve"> </v>
      </c>
      <c r="G26" s="578" t="s">
        <v>306</v>
      </c>
      <c r="H26" s="585" t="e">
        <f>D26/D25*N26</f>
        <v>#VALUE!</v>
      </c>
      <c r="I26" s="618" t="s">
        <v>307</v>
      </c>
      <c r="J26" s="586" t="str">
        <f>IF(D26="","",B25)</f>
        <v/>
      </c>
      <c r="K26" s="587" t="s">
        <v>308</v>
      </c>
      <c r="L26" s="641" t="e">
        <f>(N26-H26)</f>
        <v>#VALUE!</v>
      </c>
      <c r="M26" s="588">
        <v>6</v>
      </c>
      <c r="N26" s="308" t="e">
        <f>ROUNDUP((D$14*M26)*20/100+D$14*M26,0)</f>
        <v>#VALUE!</v>
      </c>
      <c r="O26" s="85" t="e">
        <f>N26</f>
        <v>#VALUE!</v>
      </c>
      <c r="P26" s="266"/>
    </row>
    <row r="27" spans="1:16" ht="15" x14ac:dyDescent="0.2">
      <c r="A27" s="71"/>
      <c r="B27" s="135"/>
      <c r="C27" s="136"/>
      <c r="D27" s="77"/>
      <c r="E27" s="77"/>
      <c r="F27" s="82"/>
      <c r="G27" s="83"/>
      <c r="H27" s="77"/>
      <c r="I27" s="77"/>
      <c r="J27" s="77"/>
      <c r="K27" s="84"/>
      <c r="L27" s="274" t="e">
        <f>SUM(L22:L26)</f>
        <v>#VALUE!</v>
      </c>
      <c r="M27" s="86" t="s">
        <v>309</v>
      </c>
      <c r="N27" s="71"/>
      <c r="O27" s="71"/>
      <c r="P27" s="266"/>
    </row>
    <row r="28" spans="1:16" x14ac:dyDescent="0.2">
      <c r="N28" s="266"/>
      <c r="O28" s="266"/>
      <c r="P28" s="266"/>
    </row>
    <row r="29" spans="1:16" x14ac:dyDescent="0.2">
      <c r="M29" s="94"/>
      <c r="N29" s="94"/>
      <c r="O29" s="94"/>
      <c r="P29" s="266"/>
    </row>
    <row r="30" spans="1:16" x14ac:dyDescent="0.2">
      <c r="M30" s="94"/>
      <c r="N30" s="94"/>
      <c r="O30" s="94"/>
    </row>
    <row r="31" spans="1:16" x14ac:dyDescent="0.2">
      <c r="M31" s="94"/>
      <c r="N31" s="94"/>
      <c r="O31" s="94"/>
    </row>
    <row r="32" spans="1:16" x14ac:dyDescent="0.2">
      <c r="D32" s="87"/>
      <c r="M32" s="94"/>
      <c r="N32" s="94"/>
      <c r="O32" s="94"/>
    </row>
    <row r="33" spans="13:15" x14ac:dyDescent="0.2">
      <c r="M33" s="94"/>
      <c r="N33" s="94"/>
      <c r="O33" s="94"/>
    </row>
    <row r="34" spans="13:15" x14ac:dyDescent="0.2">
      <c r="M34" s="94"/>
      <c r="N34" s="94"/>
      <c r="O34" s="94"/>
    </row>
    <row r="35" spans="13:15" x14ac:dyDescent="0.2">
      <c r="M35" s="94"/>
      <c r="N35" s="94"/>
      <c r="O35" s="94"/>
    </row>
    <row r="36" spans="13:15" x14ac:dyDescent="0.2">
      <c r="M36" s="94"/>
      <c r="N36" s="94"/>
      <c r="O36" s="94"/>
    </row>
    <row r="37" spans="13:15" x14ac:dyDescent="0.2">
      <c r="M37" s="94"/>
      <c r="N37" s="94"/>
      <c r="O37" s="94"/>
    </row>
    <row r="38" spans="13:15" x14ac:dyDescent="0.2">
      <c r="M38" s="94"/>
      <c r="N38" s="94"/>
      <c r="O38" s="94"/>
    </row>
    <row r="39" spans="13:15" x14ac:dyDescent="0.2">
      <c r="M39" s="94"/>
      <c r="N39" s="94"/>
      <c r="O39" s="94"/>
    </row>
    <row r="40" spans="13:15" x14ac:dyDescent="0.2">
      <c r="M40" s="94"/>
      <c r="N40" s="94"/>
      <c r="O40" s="94"/>
    </row>
    <row r="41" spans="13:15" x14ac:dyDescent="0.2">
      <c r="M41" s="94"/>
      <c r="N41" s="94"/>
      <c r="O41" s="94"/>
    </row>
  </sheetData>
  <sheetProtection password="C5DD" sheet="1" objects="1" scenarios="1" formatCells="0" formatColumns="0" formatRows="0"/>
  <mergeCells count="4">
    <mergeCell ref="A11:B11"/>
    <mergeCell ref="C8:D8"/>
    <mergeCell ref="C10:D10"/>
    <mergeCell ref="C11:D11"/>
  </mergeCells>
  <phoneticPr fontId="27" type="noConversion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&amp;L&amp;A&amp;C&amp;U&amp;F&amp;R&amp;D</oddHeader>
    <oddFooter>&amp;LVersion of 19/05/2016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3"/>
  <sheetViews>
    <sheetView zoomScale="85" zoomScaleNormal="85" zoomScaleSheetLayoutView="115" workbookViewId="0">
      <selection activeCell="B3" sqref="B3"/>
    </sheetView>
  </sheetViews>
  <sheetFormatPr baseColWidth="10" defaultRowHeight="12.75" x14ac:dyDescent="0.2"/>
  <cols>
    <col min="1" max="1" width="7.5703125" style="61" customWidth="1"/>
    <col min="2" max="2" width="18.140625" style="61" customWidth="1"/>
    <col min="3" max="4" width="12.140625" style="61" customWidth="1"/>
    <col min="5" max="5" width="14.42578125" style="61" customWidth="1"/>
    <col min="6" max="6" width="9.7109375" style="61" customWidth="1"/>
    <col min="7" max="7" width="3.85546875" style="61" customWidth="1"/>
    <col min="8" max="8" width="9.85546875" style="61" customWidth="1"/>
    <col min="9" max="9" width="7.7109375" style="61" customWidth="1"/>
    <col min="10" max="10" width="6.5703125" style="61" customWidth="1"/>
    <col min="11" max="11" width="7.7109375" style="61" customWidth="1"/>
    <col min="12" max="12" width="13.7109375" style="61" customWidth="1"/>
    <col min="13" max="15" width="7.7109375" style="61" customWidth="1"/>
    <col min="16" max="16" width="16.7109375" style="61" customWidth="1"/>
    <col min="17" max="20" width="7.7109375" style="61" customWidth="1"/>
    <col min="21" max="16384" width="11.42578125" style="61"/>
  </cols>
  <sheetData>
    <row r="2" spans="1:20" x14ac:dyDescent="0.2">
      <c r="A2" s="15" t="s">
        <v>310</v>
      </c>
      <c r="B2" s="143" t="str">
        <f>IF(Report!K5=0," ",Report!K5)</f>
        <v xml:space="preserve"> </v>
      </c>
      <c r="C2" s="88"/>
      <c r="D2" s="88"/>
    </row>
    <row r="3" spans="1:20" x14ac:dyDescent="0.2">
      <c r="A3" s="18" t="s">
        <v>311</v>
      </c>
      <c r="B3" s="429"/>
      <c r="C3" s="88"/>
      <c r="D3" s="88"/>
    </row>
    <row r="5" spans="1:20" ht="15.75" x14ac:dyDescent="0.25">
      <c r="A5" s="252"/>
      <c r="B5" s="11" t="s">
        <v>669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</row>
    <row r="6" spans="1:20" ht="13.5" thickBot="1" x14ac:dyDescent="0.25"/>
    <row r="7" spans="1:20" ht="49.5" customHeight="1" x14ac:dyDescent="0.25">
      <c r="B7" s="1013" t="s">
        <v>558</v>
      </c>
      <c r="C7" s="988"/>
      <c r="D7" s="1030" t="str">
        <f>IF(Report!G20="","",Report!G20)</f>
        <v>Sample No.</v>
      </c>
      <c r="E7" s="1032" t="s">
        <v>635</v>
      </c>
      <c r="F7" s="1034" t="s">
        <v>638</v>
      </c>
      <c r="G7" s="1035"/>
      <c r="H7" s="1036"/>
      <c r="I7" s="1038" t="s">
        <v>636</v>
      </c>
      <c r="J7" s="1039"/>
      <c r="K7" s="1026" t="s">
        <v>312</v>
      </c>
      <c r="L7" s="1027"/>
      <c r="M7" s="1020" t="s">
        <v>313</v>
      </c>
      <c r="N7" s="1021"/>
      <c r="O7" s="1021"/>
      <c r="P7" s="501"/>
      <c r="Q7" s="501"/>
      <c r="R7" s="501"/>
      <c r="S7" s="501"/>
      <c r="T7" s="501"/>
    </row>
    <row r="8" spans="1:20" ht="31.5" customHeight="1" x14ac:dyDescent="0.25">
      <c r="B8" s="1014"/>
      <c r="C8" s="990"/>
      <c r="D8" s="1031"/>
      <c r="E8" s="1033"/>
      <c r="F8" s="350" t="s">
        <v>314</v>
      </c>
      <c r="G8" s="89"/>
      <c r="H8" s="673" t="s">
        <v>559</v>
      </c>
      <c r="I8" s="1040"/>
      <c r="J8" s="1041"/>
      <c r="K8" s="1028"/>
      <c r="L8" s="1029"/>
      <c r="M8" s="1022"/>
      <c r="N8" s="1022"/>
      <c r="O8" s="1022"/>
      <c r="P8" s="502"/>
      <c r="Q8" s="503"/>
      <c r="R8" s="90"/>
      <c r="S8" s="502"/>
      <c r="T8" s="90"/>
    </row>
    <row r="9" spans="1:20" ht="17.25" customHeight="1" x14ac:dyDescent="0.25">
      <c r="B9" s="1015" t="s">
        <v>598</v>
      </c>
      <c r="C9" s="1016"/>
      <c r="D9" s="91" t="str">
        <f>IF(Report!G21=0,"",Report!G21)</f>
        <v/>
      </c>
      <c r="E9" s="289">
        <f>Report!I21</f>
        <v>0</v>
      </c>
      <c r="F9" s="287" t="str">
        <f>IF(E9&gt;0,((20*$C$14)/(E9/I9)),"")</f>
        <v/>
      </c>
      <c r="G9" s="92" t="s">
        <v>315</v>
      </c>
      <c r="H9" s="642" t="str">
        <f>IF(E9&gt;0,((20*$C$14)-F9),"")</f>
        <v/>
      </c>
      <c r="I9" s="1023" t="e">
        <f>((K9*M9)/$C$14)/1000</f>
        <v>#VALUE!</v>
      </c>
      <c r="J9" s="1024"/>
      <c r="K9" s="1025" t="str">
        <f>Report!G14</f>
        <v/>
      </c>
      <c r="L9" s="835"/>
      <c r="M9" s="345" t="e">
        <f>VLOOKUP(N9,Report!H$54:I$75,2,FALSE)</f>
        <v>#N/A</v>
      </c>
      <c r="N9" s="1018">
        <f>Report!G$5</f>
        <v>0</v>
      </c>
      <c r="O9" s="1019"/>
      <c r="P9" s="504"/>
      <c r="Q9" s="145"/>
      <c r="R9" s="93"/>
      <c r="S9" s="504"/>
      <c r="T9" s="505"/>
    </row>
    <row r="10" spans="1:20" ht="17.25" customHeight="1" x14ac:dyDescent="0.25">
      <c r="B10" s="1017" t="s">
        <v>599</v>
      </c>
      <c r="C10" s="1016"/>
      <c r="D10" s="619" t="str">
        <f>IF(Report!G22=0,"",Report!G22)</f>
        <v/>
      </c>
      <c r="E10" s="620">
        <f>Report!I22</f>
        <v>0</v>
      </c>
      <c r="F10" s="621" t="str">
        <f>IF(E10&gt;0,((20*$C$14)/(E10/I10)),"")</f>
        <v/>
      </c>
      <c r="G10" s="622" t="s">
        <v>316</v>
      </c>
      <c r="H10" s="643" t="str">
        <f>IF(E10&gt;0,((20*$C$14)-F10),"")</f>
        <v/>
      </c>
      <c r="I10" s="1023" t="e">
        <f>((K10*M10)/$C$14)/1000</f>
        <v>#VALUE!</v>
      </c>
      <c r="J10" s="1024"/>
      <c r="K10" s="1025" t="str">
        <f>Report!G15</f>
        <v/>
      </c>
      <c r="L10" s="835"/>
      <c r="M10" s="345" t="e">
        <f>VLOOKUP(N10,Report!H$54:I$75,2,FALSE)</f>
        <v>#N/A</v>
      </c>
      <c r="N10" s="1018">
        <f>Report!G$5</f>
        <v>0</v>
      </c>
      <c r="O10" s="1019"/>
      <c r="P10" s="504"/>
      <c r="Q10" s="145"/>
      <c r="R10" s="93"/>
      <c r="S10" s="504"/>
      <c r="T10" s="505"/>
    </row>
    <row r="11" spans="1:20" ht="17.25" customHeight="1" x14ac:dyDescent="0.25">
      <c r="B11" s="1015" t="s">
        <v>600</v>
      </c>
      <c r="C11" s="1016"/>
      <c r="D11" s="91" t="str">
        <f>IF(Report!K21=0,"",Report!K21)</f>
        <v/>
      </c>
      <c r="E11" s="289">
        <f>Report!M21</f>
        <v>0</v>
      </c>
      <c r="F11" s="287" t="str">
        <f>IF(E11&gt;0,((20*$C$14)/(E11/I11)),"")</f>
        <v/>
      </c>
      <c r="G11" s="92" t="s">
        <v>317</v>
      </c>
      <c r="H11" s="642" t="str">
        <f>IF(E11&gt;0,((20*$C$14)-F11),"")</f>
        <v/>
      </c>
      <c r="I11" s="1023" t="e">
        <f>((K11*M11)/$C$14)/1000</f>
        <v>#VALUE!</v>
      </c>
      <c r="J11" s="1024"/>
      <c r="K11" s="1025" t="str">
        <f>Report!K14</f>
        <v/>
      </c>
      <c r="L11" s="835"/>
      <c r="M11" s="345" t="e">
        <f>VLOOKUP(N11,Report!H$54:I$75,2,FALSE)</f>
        <v>#N/A</v>
      </c>
      <c r="N11" s="1018">
        <f>Report!G$5</f>
        <v>0</v>
      </c>
      <c r="O11" s="1019"/>
      <c r="P11" s="504"/>
      <c r="Q11" s="145"/>
      <c r="R11" s="93"/>
      <c r="S11" s="504"/>
      <c r="T11" s="505"/>
    </row>
    <row r="12" spans="1:20" ht="17.25" customHeight="1" thickBot="1" x14ac:dyDescent="0.3">
      <c r="B12" s="1017" t="s">
        <v>601</v>
      </c>
      <c r="C12" s="1016"/>
      <c r="D12" s="619" t="str">
        <f>IF(Report!K22=0,"",Report!K22)</f>
        <v/>
      </c>
      <c r="E12" s="620">
        <f>Report!M22</f>
        <v>0</v>
      </c>
      <c r="F12" s="623" t="str">
        <f>IF(E12&gt;0,((20*$C$14)/(E12/I12)),"")</f>
        <v/>
      </c>
      <c r="G12" s="624" t="s">
        <v>318</v>
      </c>
      <c r="H12" s="644" t="str">
        <f>IF(E12&gt;0,((20*$C$14)-F12),"")</f>
        <v/>
      </c>
      <c r="I12" s="1023" t="e">
        <f>((K12*M12)/$C$14)/1000</f>
        <v>#VALUE!</v>
      </c>
      <c r="J12" s="1024"/>
      <c r="K12" s="1025" t="str">
        <f>Report!K15</f>
        <v/>
      </c>
      <c r="L12" s="835"/>
      <c r="M12" s="345" t="e">
        <f>VLOOKUP(N12,Report!H$54:I$75,2,FALSE)</f>
        <v>#N/A</v>
      </c>
      <c r="N12" s="1018">
        <f>Report!G$5</f>
        <v>0</v>
      </c>
      <c r="O12" s="1019"/>
      <c r="P12" s="504"/>
      <c r="Q12" s="145"/>
      <c r="R12" s="93"/>
      <c r="S12" s="504"/>
      <c r="T12" s="505"/>
    </row>
    <row r="13" spans="1:20" ht="15.75" customHeight="1" x14ac:dyDescent="0.2">
      <c r="A13" s="94"/>
      <c r="B13" s="95"/>
      <c r="C13" s="95"/>
      <c r="D13" s="95"/>
      <c r="E13" s="96"/>
      <c r="F13" s="96"/>
      <c r="G13" s="96"/>
      <c r="H13" s="96"/>
      <c r="I13" s="96"/>
      <c r="M13" s="97"/>
      <c r="N13" s="97"/>
      <c r="O13" s="97"/>
      <c r="P13" s="97"/>
      <c r="Q13" s="97"/>
      <c r="R13" s="97"/>
      <c r="S13" s="90"/>
      <c r="T13" s="22"/>
    </row>
    <row r="14" spans="1:20" ht="15" customHeight="1" x14ac:dyDescent="0.25">
      <c r="A14" s="1037" t="s">
        <v>319</v>
      </c>
      <c r="B14" s="1037"/>
      <c r="C14" s="344" t="str">
        <f>IF(Report!G32=0," ",Report!G32)</f>
        <v xml:space="preserve"> </v>
      </c>
      <c r="D14" s="344"/>
      <c r="E14" s="98"/>
      <c r="F14" s="96"/>
      <c r="G14" s="96"/>
      <c r="H14" s="96"/>
      <c r="I14" s="96"/>
      <c r="J14" s="96"/>
      <c r="K14" s="96"/>
      <c r="L14" s="96"/>
      <c r="M14" s="96"/>
      <c r="N14" s="96"/>
      <c r="O14" s="99"/>
      <c r="P14" s="515"/>
      <c r="Q14" s="516"/>
      <c r="R14" s="516"/>
      <c r="S14" s="517"/>
      <c r="T14" s="22"/>
    </row>
    <row r="15" spans="1:20" ht="15" customHeight="1" x14ac:dyDescent="0.2">
      <c r="A15" s="94"/>
      <c r="B15" s="94"/>
      <c r="C15" s="94"/>
      <c r="D15" s="94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4"/>
      <c r="P15" s="516"/>
      <c r="Q15" s="516"/>
      <c r="R15" s="516"/>
      <c r="S15" s="517"/>
      <c r="T15" s="58"/>
    </row>
    <row r="16" spans="1:20" ht="15.75" x14ac:dyDescent="0.25">
      <c r="A16" s="252"/>
      <c r="B16" s="11" t="s">
        <v>670</v>
      </c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2"/>
      <c r="Q16" s="22"/>
      <c r="R16" s="22"/>
      <c r="S16" s="22"/>
      <c r="T16" s="22"/>
    </row>
    <row r="17" spans="1:20" ht="13.5" thickBot="1" x14ac:dyDescent="0.25">
      <c r="P17" s="22"/>
      <c r="Q17" s="22"/>
      <c r="R17" s="22"/>
      <c r="S17" s="22"/>
      <c r="T17" s="22"/>
    </row>
    <row r="18" spans="1:20" ht="49.5" customHeight="1" x14ac:dyDescent="0.25">
      <c r="A18" s="1032" t="s">
        <v>541</v>
      </c>
      <c r="B18" s="1050"/>
      <c r="C18" s="1030" t="str">
        <f>IF(Report!K46="","",Report!K46)</f>
        <v>Sample No.</v>
      </c>
      <c r="D18" s="1030" t="str">
        <f>IF(Report!L46="","",Report!L46)</f>
        <v>% GMO</v>
      </c>
      <c r="E18" s="1032" t="s">
        <v>635</v>
      </c>
      <c r="F18" s="1034" t="s">
        <v>637</v>
      </c>
      <c r="G18" s="1035"/>
      <c r="H18" s="1036"/>
      <c r="I18" s="1038" t="s">
        <v>636</v>
      </c>
      <c r="J18" s="1039"/>
      <c r="K18" s="1044" t="s">
        <v>320</v>
      </c>
      <c r="L18" s="1027"/>
      <c r="M18" s="1045" t="s">
        <v>321</v>
      </c>
      <c r="N18" s="1046"/>
      <c r="O18" s="1047"/>
      <c r="P18" s="1026" t="s">
        <v>322</v>
      </c>
      <c r="Q18" s="501"/>
      <c r="R18" s="501"/>
      <c r="S18" s="501"/>
      <c r="T18" s="501"/>
    </row>
    <row r="19" spans="1:20" ht="31.5" customHeight="1" thickBot="1" x14ac:dyDescent="0.3">
      <c r="A19" s="1051"/>
      <c r="B19" s="924"/>
      <c r="C19" s="1031"/>
      <c r="D19" s="1031"/>
      <c r="E19" s="1033"/>
      <c r="F19" s="350" t="s">
        <v>323</v>
      </c>
      <c r="G19" s="89"/>
      <c r="H19" s="673" t="s">
        <v>324</v>
      </c>
      <c r="I19" s="1040"/>
      <c r="J19" s="1041"/>
      <c r="K19" s="1028"/>
      <c r="L19" s="1029"/>
      <c r="M19" s="518"/>
      <c r="N19" s="1048" t="s">
        <v>325</v>
      </c>
      <c r="O19" s="1049"/>
      <c r="P19" s="1057"/>
      <c r="Q19" s="503"/>
      <c r="R19" s="90"/>
      <c r="S19" s="502"/>
      <c r="T19" s="90"/>
    </row>
    <row r="20" spans="1:20" ht="17.25" customHeight="1" thickBot="1" x14ac:dyDescent="0.3">
      <c r="A20" s="1056" t="str">
        <f>IF(Report!H47="","",Report!H47)</f>
        <v/>
      </c>
      <c r="B20" s="1056"/>
      <c r="C20" s="91" t="str">
        <f>IF(Report!K47="","",Report!K47)</f>
        <v/>
      </c>
      <c r="D20" s="91" t="str">
        <f>IF(Report!L47="","",Report!L47)</f>
        <v/>
      </c>
      <c r="E20" s="289">
        <f>Report!M47</f>
        <v>0</v>
      </c>
      <c r="F20" s="287" t="str">
        <f>IF(E20&gt;0,((4*$C$28)/(E20/I20)),"")</f>
        <v/>
      </c>
      <c r="G20" s="92" t="s">
        <v>326</v>
      </c>
      <c r="H20" s="642" t="str">
        <f>IF(E20&gt;0,((4*$C$28)-F20),"")</f>
        <v/>
      </c>
      <c r="I20" s="1023" t="e">
        <f t="shared" ref="I20:I26" si="0">((K20*M20)/$C$28)/1000/P20*100/D20</f>
        <v>#N/A</v>
      </c>
      <c r="J20" s="1053"/>
      <c r="K20" s="1054"/>
      <c r="L20" s="1055"/>
      <c r="M20" s="514" t="e">
        <f>VLOOKUP(N20,Report!H$54:I$75,2,FALSE)</f>
        <v>#N/A</v>
      </c>
      <c r="N20" s="1042"/>
      <c r="O20" s="1043"/>
      <c r="P20" s="702"/>
      <c r="Q20" s="145"/>
      <c r="R20" s="93"/>
      <c r="S20" s="504"/>
      <c r="T20" s="505"/>
    </row>
    <row r="21" spans="1:20" ht="17.25" customHeight="1" thickBot="1" x14ac:dyDescent="0.3">
      <c r="A21" s="1052" t="str">
        <f>IF(Report!H48="","",Report!H48)</f>
        <v/>
      </c>
      <c r="B21" s="1052"/>
      <c r="C21" s="619" t="str">
        <f>IF(Report!K48="","",Report!K48)</f>
        <v/>
      </c>
      <c r="D21" s="619" t="str">
        <f>IF(Report!L48="","",Report!L48)</f>
        <v/>
      </c>
      <c r="E21" s="620">
        <f>Report!M48</f>
        <v>0</v>
      </c>
      <c r="F21" s="621" t="str">
        <f t="shared" ref="F21:F26" si="1">IF(E21&gt;0,((4*$C$14)/(E21/I21)),"")</f>
        <v/>
      </c>
      <c r="G21" s="622" t="s">
        <v>327</v>
      </c>
      <c r="H21" s="643" t="str">
        <f t="shared" ref="H21:H26" si="2">IF(E21&gt;0,((4*$C$14)-F21),"")</f>
        <v/>
      </c>
      <c r="I21" s="1023" t="e">
        <f t="shared" si="0"/>
        <v>#N/A</v>
      </c>
      <c r="J21" s="1053"/>
      <c r="K21" s="1054"/>
      <c r="L21" s="1055"/>
      <c r="M21" s="514" t="e">
        <f>VLOOKUP(N21,Report!H$54:I$75,2,FALSE)</f>
        <v>#N/A</v>
      </c>
      <c r="N21" s="1042"/>
      <c r="O21" s="1043"/>
      <c r="P21" s="702"/>
      <c r="Q21" s="145"/>
      <c r="R21" s="93"/>
      <c r="S21" s="504"/>
      <c r="T21" s="505"/>
    </row>
    <row r="22" spans="1:20" ht="17.25" customHeight="1" thickBot="1" x14ac:dyDescent="0.3">
      <c r="A22" s="1056" t="str">
        <f>IF(Report!H49="","",Report!H49)</f>
        <v/>
      </c>
      <c r="B22" s="1056"/>
      <c r="C22" s="91" t="str">
        <f>IF(Report!K49="","",Report!K49)</f>
        <v/>
      </c>
      <c r="D22" s="91" t="str">
        <f>IF(Report!L49="","",Report!L49)</f>
        <v/>
      </c>
      <c r="E22" s="289">
        <f>Report!M49</f>
        <v>0</v>
      </c>
      <c r="F22" s="287" t="str">
        <f t="shared" si="1"/>
        <v/>
      </c>
      <c r="G22" s="92" t="s">
        <v>328</v>
      </c>
      <c r="H22" s="642" t="str">
        <f t="shared" si="2"/>
        <v/>
      </c>
      <c r="I22" s="1023" t="e">
        <f t="shared" si="0"/>
        <v>#N/A</v>
      </c>
      <c r="J22" s="1053"/>
      <c r="K22" s="1054"/>
      <c r="L22" s="1055"/>
      <c r="M22" s="514" t="e">
        <f>VLOOKUP(N22,Report!H$54:I$75,2,FALSE)</f>
        <v>#N/A</v>
      </c>
      <c r="N22" s="1042"/>
      <c r="O22" s="1043"/>
      <c r="P22" s="702"/>
      <c r="Q22" s="145"/>
      <c r="R22" s="93"/>
      <c r="S22" s="504"/>
      <c r="T22" s="505"/>
    </row>
    <row r="23" spans="1:20" ht="17.25" customHeight="1" thickBot="1" x14ac:dyDescent="0.3">
      <c r="A23" s="1052" t="str">
        <f>IF(Report!H50="","",Report!H50)</f>
        <v/>
      </c>
      <c r="B23" s="1052"/>
      <c r="C23" s="619" t="str">
        <f>IF(Report!K50="","",Report!K50)</f>
        <v/>
      </c>
      <c r="D23" s="619" t="str">
        <f>IF(Report!L50="","",Report!L50)</f>
        <v/>
      </c>
      <c r="E23" s="620">
        <f>Report!M50</f>
        <v>0</v>
      </c>
      <c r="F23" s="621" t="str">
        <f t="shared" si="1"/>
        <v/>
      </c>
      <c r="G23" s="622" t="s">
        <v>329</v>
      </c>
      <c r="H23" s="643" t="str">
        <f t="shared" si="2"/>
        <v/>
      </c>
      <c r="I23" s="1023" t="e">
        <f t="shared" si="0"/>
        <v>#N/A</v>
      </c>
      <c r="J23" s="1053"/>
      <c r="K23" s="1054"/>
      <c r="L23" s="1055"/>
      <c r="M23" s="514" t="e">
        <f>VLOOKUP(N23,Report!H$54:I$75,2,FALSE)</f>
        <v>#N/A</v>
      </c>
      <c r="N23" s="1042"/>
      <c r="O23" s="1043"/>
      <c r="P23" s="702"/>
      <c r="Q23" s="145"/>
      <c r="R23" s="93"/>
      <c r="S23" s="504"/>
      <c r="T23" s="505"/>
    </row>
    <row r="24" spans="1:20" ht="17.25" customHeight="1" thickBot="1" x14ac:dyDescent="0.3">
      <c r="A24" s="1056" t="str">
        <f>IF(Report!H51="","",Report!H51)</f>
        <v/>
      </c>
      <c r="B24" s="1056"/>
      <c r="C24" s="91" t="str">
        <f>IF(Report!K51="","",Report!K51)</f>
        <v/>
      </c>
      <c r="D24" s="91" t="str">
        <f>IF(Report!L51="","",Report!L51)</f>
        <v/>
      </c>
      <c r="E24" s="289">
        <f>Report!M51</f>
        <v>0</v>
      </c>
      <c r="F24" s="287" t="str">
        <f t="shared" si="1"/>
        <v/>
      </c>
      <c r="G24" s="92" t="s">
        <v>330</v>
      </c>
      <c r="H24" s="642" t="str">
        <f t="shared" si="2"/>
        <v/>
      </c>
      <c r="I24" s="1023" t="e">
        <f t="shared" si="0"/>
        <v>#N/A</v>
      </c>
      <c r="J24" s="1053"/>
      <c r="K24" s="1054"/>
      <c r="L24" s="1055"/>
      <c r="M24" s="514" t="e">
        <f>VLOOKUP(N24,Report!H$54:I$75,2,FALSE)</f>
        <v>#N/A</v>
      </c>
      <c r="N24" s="1042"/>
      <c r="O24" s="1043"/>
      <c r="P24" s="702"/>
      <c r="Q24" s="145"/>
      <c r="R24" s="93"/>
      <c r="S24" s="504"/>
      <c r="T24" s="505"/>
    </row>
    <row r="25" spans="1:20" ht="17.25" customHeight="1" thickBot="1" x14ac:dyDescent="0.3">
      <c r="A25" s="1052" t="str">
        <f>IF(Report!H52="","",Report!H52)</f>
        <v/>
      </c>
      <c r="B25" s="1052"/>
      <c r="C25" s="619" t="str">
        <f>IF(Report!K52="","",Report!K52)</f>
        <v/>
      </c>
      <c r="D25" s="619" t="str">
        <f>IF(Report!L52="","",Report!L52)</f>
        <v/>
      </c>
      <c r="E25" s="620">
        <f>Report!M52</f>
        <v>0</v>
      </c>
      <c r="F25" s="621" t="str">
        <f t="shared" si="1"/>
        <v/>
      </c>
      <c r="G25" s="622" t="s">
        <v>331</v>
      </c>
      <c r="H25" s="643" t="str">
        <f t="shared" si="2"/>
        <v/>
      </c>
      <c r="I25" s="1023" t="e">
        <f t="shared" si="0"/>
        <v>#N/A</v>
      </c>
      <c r="J25" s="1053"/>
      <c r="K25" s="1054"/>
      <c r="L25" s="1055"/>
      <c r="M25" s="514" t="e">
        <f>VLOOKUP(N25,Report!H$54:I$75,2,FALSE)</f>
        <v>#N/A</v>
      </c>
      <c r="N25" s="1042"/>
      <c r="O25" s="1043"/>
      <c r="P25" s="702"/>
      <c r="Q25" s="145"/>
      <c r="R25" s="93"/>
      <c r="S25" s="504"/>
      <c r="T25" s="505"/>
    </row>
    <row r="26" spans="1:20" ht="17.25" customHeight="1" thickBot="1" x14ac:dyDescent="0.3">
      <c r="A26" s="1056" t="str">
        <f>IF(Report!H53="","",Report!H53)</f>
        <v/>
      </c>
      <c r="B26" s="1056"/>
      <c r="C26" s="91" t="str">
        <f>IF(Report!K53="","",Report!K53)</f>
        <v/>
      </c>
      <c r="D26" s="91" t="str">
        <f>IF(Report!L53="","",Report!L53)</f>
        <v/>
      </c>
      <c r="E26" s="289">
        <f>Report!M53</f>
        <v>0</v>
      </c>
      <c r="F26" s="288" t="str">
        <f t="shared" si="1"/>
        <v/>
      </c>
      <c r="G26" s="270" t="s">
        <v>332</v>
      </c>
      <c r="H26" s="645" t="str">
        <f t="shared" si="2"/>
        <v/>
      </c>
      <c r="I26" s="1023" t="e">
        <f t="shared" si="0"/>
        <v>#N/A</v>
      </c>
      <c r="J26" s="1053"/>
      <c r="K26" s="1054"/>
      <c r="L26" s="1055"/>
      <c r="M26" s="514" t="e">
        <f>VLOOKUP(N26,Report!H$54:I$75,2,FALSE)</f>
        <v>#N/A</v>
      </c>
      <c r="N26" s="1042"/>
      <c r="O26" s="1043"/>
      <c r="P26" s="702"/>
      <c r="Q26" s="145"/>
      <c r="R26" s="93"/>
      <c r="S26" s="504"/>
      <c r="T26" s="505"/>
    </row>
    <row r="27" spans="1:20" ht="15.75" customHeight="1" x14ac:dyDescent="0.2">
      <c r="A27" s="94"/>
      <c r="B27" s="95"/>
      <c r="C27" s="95"/>
      <c r="D27" s="95"/>
      <c r="E27" s="96"/>
      <c r="F27" s="96"/>
      <c r="G27" s="96"/>
      <c r="H27" s="96"/>
      <c r="I27" s="96"/>
      <c r="M27" s="97"/>
      <c r="N27" s="97"/>
      <c r="O27" s="97"/>
      <c r="P27" s="97"/>
      <c r="Q27" s="97"/>
      <c r="R27" s="97"/>
      <c r="S27" s="90"/>
    </row>
    <row r="28" spans="1:20" ht="15" customHeight="1" x14ac:dyDescent="0.25">
      <c r="A28" s="1037" t="s">
        <v>333</v>
      </c>
      <c r="B28" s="1037"/>
      <c r="C28" s="344" t="str">
        <f>IF(Report!G32=0," ",Report!G32)</f>
        <v xml:space="preserve"> </v>
      </c>
      <c r="D28" s="344"/>
      <c r="E28" s="98"/>
      <c r="F28" s="96"/>
      <c r="G28" s="96"/>
      <c r="H28" s="96"/>
      <c r="I28" s="96"/>
      <c r="J28" s="96"/>
      <c r="K28" s="96"/>
      <c r="L28" s="96"/>
      <c r="M28" s="96"/>
      <c r="N28" s="96"/>
      <c r="O28" s="99"/>
      <c r="P28" s="99"/>
      <c r="Q28" s="94"/>
      <c r="R28" s="94"/>
      <c r="S28" s="71"/>
    </row>
    <row r="29" spans="1:20" x14ac:dyDescent="0.2">
      <c r="F29" s="104"/>
      <c r="K29" s="101"/>
      <c r="L29" s="102"/>
      <c r="M29" s="101"/>
      <c r="N29" s="101"/>
      <c r="Q29" s="94"/>
      <c r="R29" s="94"/>
    </row>
    <row r="30" spans="1:20" ht="13.5" thickBot="1" x14ac:dyDescent="0.25">
      <c r="A30" s="674"/>
      <c r="B30" s="674"/>
      <c r="C30" s="674"/>
      <c r="D30" s="674"/>
      <c r="E30" s="674"/>
      <c r="F30" s="674"/>
      <c r="G30" s="674"/>
      <c r="H30" s="674"/>
      <c r="I30" s="674"/>
      <c r="J30" s="674"/>
      <c r="K30" s="675"/>
      <c r="L30" s="676"/>
      <c r="M30" s="675"/>
      <c r="N30" s="675"/>
      <c r="O30" s="674"/>
      <c r="P30" s="674"/>
      <c r="Q30" s="94"/>
      <c r="R30" s="94"/>
    </row>
    <row r="31" spans="1:20" ht="14.25" thickTop="1" thickBot="1" x14ac:dyDescent="0.25">
      <c r="A31" s="674"/>
      <c r="B31" s="782"/>
      <c r="C31" s="674"/>
      <c r="D31" s="674"/>
      <c r="E31" s="783" t="str">
        <f>Report!L54</f>
        <v>Zygosity ratio</v>
      </c>
      <c r="F31" s="674"/>
      <c r="G31" s="674"/>
      <c r="H31" s="674"/>
      <c r="I31" s="674"/>
      <c r="J31" s="674"/>
      <c r="K31" s="675"/>
      <c r="L31" s="676"/>
      <c r="M31" s="675"/>
      <c r="N31" s="675"/>
      <c r="O31" s="674"/>
      <c r="P31" s="674"/>
      <c r="Q31" s="94"/>
      <c r="R31" s="94"/>
    </row>
    <row r="32" spans="1:20" ht="14.25" thickTop="1" thickBot="1" x14ac:dyDescent="0.25">
      <c r="A32" s="674"/>
      <c r="B32" s="782" t="str">
        <f>Report!H55</f>
        <v>cotton</v>
      </c>
      <c r="C32" s="674"/>
      <c r="D32" s="674"/>
      <c r="E32" s="784">
        <f>Report!L55</f>
        <v>1</v>
      </c>
      <c r="F32" s="674"/>
      <c r="G32" s="674"/>
      <c r="H32" s="674"/>
      <c r="I32" s="674"/>
      <c r="J32" s="674"/>
      <c r="K32" s="675"/>
      <c r="L32" s="676"/>
      <c r="M32" s="675"/>
      <c r="N32" s="675"/>
      <c r="O32" s="674"/>
      <c r="P32" s="674"/>
      <c r="Q32" s="94"/>
      <c r="R32" s="94"/>
    </row>
    <row r="33" spans="1:18" ht="14.25" thickTop="1" thickBot="1" x14ac:dyDescent="0.25">
      <c r="A33" s="675"/>
      <c r="B33" s="782" t="str">
        <f>Report!H56</f>
        <v>potato</v>
      </c>
      <c r="C33" s="675"/>
      <c r="D33" s="675"/>
      <c r="E33" s="784">
        <f>Report!L56</f>
        <v>0.5</v>
      </c>
      <c r="F33" s="677"/>
      <c r="G33" s="678"/>
      <c r="H33" s="679"/>
      <c r="I33" s="680"/>
      <c r="J33" s="675"/>
      <c r="K33" s="675"/>
      <c r="L33" s="676"/>
      <c r="M33" s="675"/>
      <c r="N33" s="675"/>
      <c r="O33" s="675"/>
      <c r="P33" s="675"/>
      <c r="Q33" s="94"/>
      <c r="R33" s="94"/>
    </row>
    <row r="34" spans="1:18" ht="14.25" thickTop="1" thickBot="1" x14ac:dyDescent="0.25">
      <c r="A34" s="674"/>
      <c r="B34" s="782" t="str">
        <f>Report!H57</f>
        <v>linseed</v>
      </c>
      <c r="C34" s="674"/>
      <c r="D34" s="674"/>
      <c r="E34" s="784">
        <f>Report!L57</f>
        <v>0.33333333333333331</v>
      </c>
      <c r="F34" s="674"/>
      <c r="G34" s="674"/>
      <c r="H34" s="674"/>
      <c r="I34" s="674"/>
      <c r="J34" s="674"/>
      <c r="K34" s="675"/>
      <c r="L34" s="675"/>
      <c r="M34" s="675"/>
      <c r="N34" s="675"/>
      <c r="O34" s="674"/>
      <c r="P34" s="674"/>
    </row>
    <row r="35" spans="1:18" ht="14.25" thickTop="1" thickBot="1" x14ac:dyDescent="0.25">
      <c r="A35" s="674"/>
      <c r="B35" s="782" t="str">
        <f>Report!H58</f>
        <v>maize</v>
      </c>
      <c r="C35" s="674"/>
      <c r="D35" s="674"/>
      <c r="E35" s="784">
        <f>Report!L58</f>
        <v>0.25</v>
      </c>
      <c r="F35" s="674"/>
      <c r="G35" s="674"/>
      <c r="H35" s="674"/>
      <c r="I35" s="674"/>
      <c r="J35" s="674"/>
      <c r="K35" s="675"/>
      <c r="L35" s="675"/>
      <c r="M35" s="675"/>
      <c r="N35" s="675"/>
      <c r="O35" s="674"/>
      <c r="P35" s="674"/>
    </row>
    <row r="36" spans="1:18" ht="14.25" thickTop="1" thickBot="1" x14ac:dyDescent="0.25">
      <c r="A36" s="674"/>
      <c r="B36" s="782" t="str">
        <f>Report!H59</f>
        <v>canola</v>
      </c>
      <c r="C36" s="674"/>
      <c r="D36" s="674"/>
      <c r="E36" s="784">
        <f>Report!L59</f>
        <v>0.19999999999999998</v>
      </c>
      <c r="F36" s="674"/>
      <c r="G36" s="674"/>
      <c r="H36" s="674"/>
      <c r="I36" s="674"/>
      <c r="J36" s="674"/>
      <c r="K36" s="674"/>
      <c r="L36" s="674"/>
      <c r="M36" s="674"/>
      <c r="N36" s="674"/>
      <c r="O36" s="674"/>
      <c r="P36" s="674"/>
    </row>
    <row r="37" spans="1:18" ht="14.25" thickTop="1" thickBot="1" x14ac:dyDescent="0.25">
      <c r="A37" s="674"/>
      <c r="B37" s="782" t="str">
        <f>Report!H60</f>
        <v>soybean</v>
      </c>
      <c r="C37" s="674"/>
      <c r="D37" s="674"/>
      <c r="E37" s="784">
        <f>Report!L60</f>
        <v>0.16666666666666666</v>
      </c>
      <c r="F37" s="674"/>
      <c r="G37" s="674"/>
      <c r="H37" s="674"/>
      <c r="I37" s="674"/>
      <c r="J37" s="674"/>
      <c r="K37" s="674"/>
      <c r="L37" s="674"/>
      <c r="M37" s="674"/>
      <c r="N37" s="674"/>
      <c r="O37" s="674"/>
      <c r="P37" s="674"/>
    </row>
    <row r="38" spans="1:18" ht="14.25" thickTop="1" thickBot="1" x14ac:dyDescent="0.25">
      <c r="A38" s="674"/>
      <c r="B38" s="782" t="str">
        <f>Report!H61</f>
        <v>tomato</v>
      </c>
      <c r="C38" s="674"/>
      <c r="D38" s="674"/>
      <c r="E38" s="784">
        <f>Report!L61</f>
        <v>0.14285714285714285</v>
      </c>
      <c r="F38" s="674"/>
      <c r="G38" s="674"/>
      <c r="H38" s="674"/>
      <c r="I38" s="674"/>
      <c r="J38" s="674"/>
      <c r="K38" s="674"/>
      <c r="L38" s="674"/>
      <c r="M38" s="674"/>
      <c r="N38" s="674"/>
      <c r="O38" s="674"/>
      <c r="P38" s="674"/>
    </row>
    <row r="39" spans="1:18" ht="14.25" thickTop="1" thickBot="1" x14ac:dyDescent="0.25">
      <c r="A39" s="674"/>
      <c r="B39" s="782" t="str">
        <f>Report!H62</f>
        <v>sugar beet</v>
      </c>
      <c r="C39" s="674"/>
      <c r="D39" s="674"/>
      <c r="E39" s="784">
        <f>Report!L62</f>
        <v>0.125</v>
      </c>
      <c r="F39" s="674"/>
      <c r="G39" s="674"/>
      <c r="H39" s="674"/>
      <c r="I39" s="674"/>
      <c r="J39" s="674"/>
      <c r="K39" s="674"/>
      <c r="L39" s="674"/>
      <c r="M39" s="674"/>
      <c r="N39" s="674"/>
      <c r="O39" s="674"/>
      <c r="P39" s="674"/>
    </row>
    <row r="40" spans="1:18" ht="14.25" thickTop="1" thickBot="1" x14ac:dyDescent="0.25">
      <c r="A40" s="674"/>
      <c r="B40" s="782" t="str">
        <f>Report!H63</f>
        <v>xx</v>
      </c>
      <c r="C40" s="674"/>
      <c r="D40" s="674"/>
      <c r="E40" s="784">
        <f>Report!L63</f>
        <v>0</v>
      </c>
      <c r="F40" s="674"/>
      <c r="G40" s="674"/>
      <c r="H40" s="674"/>
      <c r="I40" s="674"/>
      <c r="J40" s="674"/>
      <c r="K40" s="674"/>
      <c r="L40" s="674"/>
      <c r="M40" s="674"/>
      <c r="N40" s="674"/>
      <c r="O40" s="674"/>
      <c r="P40" s="674"/>
    </row>
    <row r="41" spans="1:18" ht="14.25" thickTop="1" thickBot="1" x14ac:dyDescent="0.25">
      <c r="A41" s="674"/>
      <c r="B41" s="782" t="str">
        <f>Report!H64</f>
        <v>xx</v>
      </c>
      <c r="C41" s="674"/>
      <c r="D41" s="674"/>
      <c r="E41" s="784">
        <f>Report!L64</f>
        <v>0</v>
      </c>
      <c r="F41" s="674"/>
      <c r="G41" s="674"/>
      <c r="H41" s="674"/>
      <c r="I41" s="674"/>
      <c r="J41" s="674"/>
      <c r="K41" s="674"/>
      <c r="L41" s="674"/>
      <c r="M41" s="674"/>
      <c r="N41" s="674"/>
      <c r="O41" s="674"/>
      <c r="P41" s="674"/>
    </row>
    <row r="42" spans="1:18" ht="14.25" thickTop="1" thickBot="1" x14ac:dyDescent="0.25">
      <c r="A42" s="674"/>
      <c r="B42" s="782" t="str">
        <f>Report!H65</f>
        <v>xx</v>
      </c>
      <c r="C42" s="674"/>
      <c r="D42" s="674"/>
      <c r="E42" s="784">
        <f>Report!L65</f>
        <v>0</v>
      </c>
      <c r="F42" s="674"/>
      <c r="G42" s="674"/>
      <c r="H42" s="674"/>
      <c r="I42" s="674"/>
      <c r="J42" s="674"/>
      <c r="K42" s="674"/>
      <c r="L42" s="674"/>
      <c r="M42" s="674"/>
      <c r="N42" s="674"/>
      <c r="O42" s="674"/>
      <c r="P42" s="674"/>
    </row>
    <row r="43" spans="1:18" ht="14.25" thickTop="1" thickBot="1" x14ac:dyDescent="0.25">
      <c r="A43" s="674"/>
      <c r="B43" s="782" t="str">
        <f>Report!H66</f>
        <v>xx</v>
      </c>
      <c r="C43" s="674"/>
      <c r="D43" s="674"/>
      <c r="E43" s="784">
        <f>Report!L66</f>
        <v>0</v>
      </c>
      <c r="F43" s="674"/>
      <c r="G43" s="674"/>
      <c r="H43" s="674"/>
      <c r="I43" s="674"/>
      <c r="J43" s="674"/>
      <c r="K43" s="674"/>
      <c r="L43" s="674"/>
      <c r="M43" s="674"/>
      <c r="N43" s="674"/>
      <c r="O43" s="674"/>
      <c r="P43" s="674"/>
    </row>
    <row r="44" spans="1:18" ht="14.25" thickTop="1" thickBot="1" x14ac:dyDescent="0.25">
      <c r="A44" s="674"/>
      <c r="B44" s="782" t="str">
        <f>Report!H67</f>
        <v>xx</v>
      </c>
      <c r="C44" s="674"/>
      <c r="D44" s="674"/>
      <c r="E44" s="674"/>
      <c r="F44" s="674"/>
      <c r="G44" s="674"/>
      <c r="H44" s="674"/>
      <c r="I44" s="674"/>
      <c r="J44" s="674"/>
      <c r="K44" s="674"/>
      <c r="L44" s="674"/>
      <c r="M44" s="674"/>
      <c r="N44" s="674"/>
      <c r="O44" s="674"/>
      <c r="P44" s="674"/>
    </row>
    <row r="45" spans="1:18" ht="14.25" thickTop="1" thickBot="1" x14ac:dyDescent="0.25">
      <c r="A45" s="674"/>
      <c r="B45" s="782" t="str">
        <f>Report!H68</f>
        <v>xx</v>
      </c>
      <c r="C45" s="674"/>
      <c r="D45" s="674"/>
      <c r="E45" s="674"/>
      <c r="F45" s="674"/>
      <c r="G45" s="674"/>
      <c r="H45" s="674"/>
      <c r="I45" s="674"/>
      <c r="J45" s="674"/>
      <c r="K45" s="674"/>
      <c r="L45" s="674"/>
      <c r="M45" s="674"/>
      <c r="N45" s="674"/>
      <c r="O45" s="674"/>
      <c r="P45" s="674"/>
    </row>
    <row r="46" spans="1:18" ht="14.25" thickTop="1" thickBot="1" x14ac:dyDescent="0.25">
      <c r="A46" s="674"/>
      <c r="B46" s="782" t="str">
        <f>Report!H69</f>
        <v>xx</v>
      </c>
      <c r="C46" s="674"/>
      <c r="D46" s="674"/>
      <c r="E46" s="674"/>
      <c r="F46" s="674"/>
      <c r="G46" s="674"/>
      <c r="H46" s="674"/>
      <c r="I46" s="674"/>
      <c r="J46" s="674"/>
      <c r="K46" s="674"/>
      <c r="L46" s="674"/>
      <c r="M46" s="674"/>
      <c r="N46" s="674"/>
      <c r="O46" s="674"/>
      <c r="P46" s="674"/>
    </row>
    <row r="47" spans="1:18" ht="14.25" thickTop="1" thickBot="1" x14ac:dyDescent="0.25">
      <c r="A47" s="674"/>
      <c r="B47" s="782" t="str">
        <f>Report!H70</f>
        <v>xx</v>
      </c>
      <c r="C47" s="674"/>
      <c r="D47" s="674"/>
      <c r="E47" s="674"/>
      <c r="F47" s="674"/>
      <c r="G47" s="674"/>
      <c r="H47" s="674"/>
      <c r="I47" s="674"/>
      <c r="J47" s="674"/>
      <c r="K47" s="674"/>
      <c r="L47" s="674"/>
      <c r="M47" s="674"/>
      <c r="N47" s="674"/>
      <c r="O47" s="674"/>
      <c r="P47" s="674"/>
    </row>
    <row r="48" spans="1:18" ht="14.25" thickTop="1" thickBot="1" x14ac:dyDescent="0.25">
      <c r="A48" s="674"/>
      <c r="B48" s="782" t="str">
        <f>Report!H71</f>
        <v>xx</v>
      </c>
      <c r="C48" s="674"/>
      <c r="D48" s="674"/>
      <c r="E48" s="674"/>
      <c r="F48" s="674"/>
      <c r="G48" s="674"/>
      <c r="H48" s="674"/>
      <c r="I48" s="674"/>
      <c r="J48" s="674"/>
      <c r="K48" s="674"/>
      <c r="L48" s="674"/>
      <c r="M48" s="674"/>
      <c r="N48" s="674"/>
      <c r="O48" s="674"/>
      <c r="P48" s="674"/>
    </row>
    <row r="49" spans="1:16" ht="14.25" thickTop="1" thickBot="1" x14ac:dyDescent="0.25">
      <c r="A49" s="674"/>
      <c r="B49" s="782" t="str">
        <f>Report!H72</f>
        <v>xx</v>
      </c>
      <c r="C49" s="674"/>
      <c r="D49" s="674"/>
      <c r="E49" s="674"/>
      <c r="F49" s="674"/>
      <c r="G49" s="674"/>
      <c r="H49" s="674"/>
      <c r="I49" s="674"/>
      <c r="J49" s="674"/>
      <c r="K49" s="674"/>
      <c r="L49" s="674"/>
      <c r="M49" s="674"/>
      <c r="N49" s="674"/>
      <c r="O49" s="674"/>
      <c r="P49" s="674"/>
    </row>
    <row r="50" spans="1:16" ht="14.25" thickTop="1" thickBot="1" x14ac:dyDescent="0.25">
      <c r="A50" s="674"/>
      <c r="B50" s="782" t="str">
        <f>Report!H73</f>
        <v>xx</v>
      </c>
      <c r="C50" s="674"/>
      <c r="D50" s="674"/>
      <c r="E50" s="674"/>
      <c r="F50" s="674"/>
      <c r="G50" s="674"/>
      <c r="H50" s="674"/>
      <c r="I50" s="674"/>
      <c r="J50" s="674"/>
      <c r="K50" s="674"/>
      <c r="L50" s="674"/>
      <c r="M50" s="674"/>
      <c r="N50" s="674"/>
      <c r="O50" s="674"/>
      <c r="P50" s="674"/>
    </row>
    <row r="51" spans="1:16" ht="14.25" thickTop="1" thickBot="1" x14ac:dyDescent="0.25">
      <c r="A51" s="674"/>
      <c r="B51" s="782" t="str">
        <f>Report!H74</f>
        <v>xx</v>
      </c>
      <c r="C51" s="674"/>
      <c r="D51" s="674"/>
      <c r="E51" s="674"/>
      <c r="F51" s="674"/>
      <c r="G51" s="674"/>
      <c r="H51" s="674"/>
      <c r="I51" s="674"/>
      <c r="J51" s="674"/>
      <c r="K51" s="674"/>
      <c r="L51" s="674"/>
      <c r="M51" s="674"/>
      <c r="N51" s="674"/>
      <c r="O51" s="674"/>
      <c r="P51" s="674"/>
    </row>
    <row r="52" spans="1:16" ht="14.25" thickTop="1" thickBot="1" x14ac:dyDescent="0.25">
      <c r="A52" s="674"/>
      <c r="B52" s="782" t="str">
        <f>Report!H75</f>
        <v>xx</v>
      </c>
      <c r="C52" s="674"/>
      <c r="D52" s="674"/>
      <c r="E52" s="674"/>
      <c r="F52" s="674"/>
      <c r="G52" s="674"/>
      <c r="H52" s="674"/>
      <c r="I52" s="674"/>
      <c r="J52" s="674"/>
      <c r="K52" s="674"/>
      <c r="L52" s="674"/>
      <c r="M52" s="674"/>
      <c r="N52" s="674"/>
      <c r="O52" s="674"/>
      <c r="P52" s="674"/>
    </row>
    <row r="53" spans="1:16" ht="13.5" thickTop="1" x14ac:dyDescent="0.2">
      <c r="A53" s="674"/>
      <c r="B53" s="674"/>
      <c r="C53" s="674"/>
      <c r="D53" s="674"/>
      <c r="E53" s="674"/>
      <c r="F53" s="674"/>
      <c r="G53" s="674"/>
      <c r="H53" s="674"/>
      <c r="I53" s="674"/>
      <c r="J53" s="674"/>
      <c r="K53" s="674"/>
      <c r="L53" s="674"/>
      <c r="M53" s="674"/>
      <c r="N53" s="674"/>
      <c r="O53" s="674"/>
      <c r="P53" s="674"/>
    </row>
    <row r="54" spans="1:16" x14ac:dyDescent="0.2">
      <c r="A54" s="674"/>
      <c r="B54" s="674"/>
      <c r="C54" s="674"/>
      <c r="D54" s="674"/>
      <c r="E54" s="674"/>
      <c r="F54" s="674"/>
      <c r="G54" s="674"/>
      <c r="H54" s="674"/>
      <c r="I54" s="674"/>
      <c r="J54" s="674"/>
      <c r="K54" s="674"/>
      <c r="L54" s="674"/>
      <c r="M54" s="674"/>
      <c r="N54" s="674"/>
      <c r="O54" s="674"/>
      <c r="P54" s="674"/>
    </row>
    <row r="55" spans="1:16" x14ac:dyDescent="0.2">
      <c r="A55" s="674"/>
      <c r="B55" s="674"/>
      <c r="C55" s="674"/>
      <c r="D55" s="674"/>
      <c r="E55" s="674"/>
      <c r="F55" s="674"/>
      <c r="G55" s="674"/>
      <c r="H55" s="674"/>
      <c r="I55" s="674"/>
      <c r="J55" s="674"/>
      <c r="K55" s="674"/>
      <c r="L55" s="674"/>
      <c r="M55" s="674"/>
      <c r="N55" s="674"/>
      <c r="O55" s="674"/>
      <c r="P55" s="674"/>
    </row>
    <row r="56" spans="1:16" x14ac:dyDescent="0.2">
      <c r="A56" s="674"/>
      <c r="B56" s="674"/>
      <c r="C56" s="674"/>
      <c r="D56" s="674"/>
      <c r="E56" s="674"/>
      <c r="F56" s="674"/>
      <c r="G56" s="674"/>
      <c r="H56" s="674"/>
      <c r="I56" s="674"/>
      <c r="J56" s="674"/>
      <c r="K56" s="674"/>
      <c r="L56" s="674"/>
      <c r="M56" s="674"/>
      <c r="N56" s="674"/>
      <c r="O56" s="674"/>
      <c r="P56" s="674"/>
    </row>
    <row r="57" spans="1:16" x14ac:dyDescent="0.2">
      <c r="A57" s="674"/>
      <c r="B57" s="674"/>
      <c r="C57" s="674"/>
      <c r="D57" s="674"/>
      <c r="E57" s="674"/>
      <c r="F57" s="674"/>
      <c r="G57" s="674"/>
      <c r="H57" s="674"/>
      <c r="I57" s="674"/>
      <c r="J57" s="674"/>
      <c r="K57" s="674"/>
      <c r="L57" s="674"/>
      <c r="M57" s="674"/>
      <c r="N57" s="674"/>
      <c r="O57" s="674"/>
      <c r="P57" s="674"/>
    </row>
    <row r="58" spans="1:16" x14ac:dyDescent="0.2">
      <c r="A58" s="674"/>
      <c r="B58" s="674"/>
      <c r="C58" s="674"/>
      <c r="D58" s="674"/>
      <c r="E58" s="674"/>
      <c r="F58" s="674"/>
      <c r="G58" s="674"/>
      <c r="H58" s="674"/>
      <c r="I58" s="674"/>
      <c r="J58" s="674"/>
      <c r="K58" s="674"/>
      <c r="L58" s="674"/>
      <c r="M58" s="674"/>
      <c r="N58" s="674"/>
      <c r="O58" s="674"/>
      <c r="P58" s="674"/>
    </row>
    <row r="59" spans="1:16" x14ac:dyDescent="0.2">
      <c r="A59" s="674"/>
      <c r="B59" s="674"/>
      <c r="C59" s="674"/>
      <c r="D59" s="674"/>
      <c r="E59" s="674"/>
      <c r="F59" s="674"/>
      <c r="G59" s="674"/>
      <c r="H59" s="674"/>
      <c r="I59" s="674"/>
      <c r="J59" s="674"/>
      <c r="K59" s="674"/>
      <c r="L59" s="674"/>
      <c r="M59" s="674"/>
      <c r="N59" s="674"/>
      <c r="O59" s="674"/>
      <c r="P59" s="674"/>
    </row>
    <row r="60" spans="1:16" x14ac:dyDescent="0.2">
      <c r="A60" s="674"/>
      <c r="B60" s="674"/>
      <c r="C60" s="674"/>
      <c r="D60" s="674"/>
      <c r="E60" s="674"/>
      <c r="F60" s="674"/>
      <c r="G60" s="674"/>
      <c r="H60" s="674"/>
      <c r="I60" s="674"/>
      <c r="J60" s="674"/>
      <c r="K60" s="674"/>
      <c r="L60" s="674"/>
      <c r="M60" s="674"/>
      <c r="N60" s="674"/>
      <c r="O60" s="674"/>
      <c r="P60" s="674"/>
    </row>
    <row r="61" spans="1:16" x14ac:dyDescent="0.2">
      <c r="A61" s="674"/>
      <c r="B61" s="674"/>
      <c r="C61" s="674"/>
      <c r="D61" s="674"/>
      <c r="E61" s="674"/>
      <c r="F61" s="674"/>
      <c r="G61" s="674"/>
      <c r="H61" s="674"/>
      <c r="I61" s="674"/>
      <c r="J61" s="674"/>
      <c r="K61" s="674"/>
      <c r="L61" s="674"/>
      <c r="M61" s="674"/>
      <c r="N61" s="674"/>
      <c r="O61" s="674"/>
      <c r="P61" s="674"/>
    </row>
    <row r="62" spans="1:16" x14ac:dyDescent="0.2">
      <c r="A62" s="674"/>
      <c r="B62" s="674"/>
      <c r="C62" s="674"/>
      <c r="D62" s="674"/>
      <c r="E62" s="674"/>
      <c r="F62" s="674"/>
      <c r="G62" s="674"/>
      <c r="H62" s="674"/>
      <c r="I62" s="674"/>
      <c r="J62" s="674"/>
      <c r="K62" s="674"/>
      <c r="L62" s="674"/>
      <c r="M62" s="674"/>
      <c r="N62" s="674"/>
      <c r="O62" s="674"/>
      <c r="P62" s="674"/>
    </row>
    <row r="63" spans="1:16" x14ac:dyDescent="0.2">
      <c r="A63" s="674"/>
      <c r="B63" s="674"/>
      <c r="C63" s="674"/>
      <c r="D63" s="674"/>
      <c r="E63" s="674"/>
      <c r="F63" s="674"/>
      <c r="G63" s="674"/>
      <c r="H63" s="674"/>
      <c r="I63" s="674"/>
      <c r="J63" s="674"/>
      <c r="K63" s="674"/>
      <c r="L63" s="674"/>
      <c r="M63" s="674"/>
      <c r="N63" s="674"/>
      <c r="O63" s="674"/>
      <c r="P63" s="674"/>
    </row>
    <row r="64" spans="1:16" x14ac:dyDescent="0.2">
      <c r="A64" s="674"/>
      <c r="B64" s="674"/>
      <c r="C64" s="674"/>
      <c r="D64" s="674"/>
      <c r="E64" s="674"/>
      <c r="F64" s="674"/>
      <c r="G64" s="674"/>
      <c r="H64" s="674"/>
      <c r="I64" s="674"/>
      <c r="J64" s="674"/>
      <c r="K64" s="674"/>
      <c r="L64" s="674"/>
      <c r="M64" s="674"/>
      <c r="N64" s="674"/>
      <c r="O64" s="674"/>
      <c r="P64" s="674"/>
    </row>
    <row r="65" spans="1:16" x14ac:dyDescent="0.2">
      <c r="A65" s="674"/>
      <c r="B65" s="674"/>
      <c r="C65" s="674"/>
      <c r="D65" s="674"/>
      <c r="E65" s="674"/>
      <c r="F65" s="674"/>
      <c r="G65" s="674"/>
      <c r="H65" s="674"/>
      <c r="I65" s="674"/>
      <c r="J65" s="674"/>
      <c r="K65" s="674"/>
      <c r="L65" s="674"/>
      <c r="M65" s="674"/>
      <c r="N65" s="674"/>
      <c r="O65" s="674"/>
      <c r="P65" s="674"/>
    </row>
    <row r="66" spans="1:16" x14ac:dyDescent="0.2">
      <c r="A66" s="674"/>
      <c r="B66" s="674"/>
      <c r="C66" s="674"/>
      <c r="D66" s="674"/>
      <c r="E66" s="674"/>
      <c r="F66" s="674"/>
      <c r="G66" s="674"/>
      <c r="H66" s="674"/>
      <c r="I66" s="674"/>
      <c r="J66" s="674"/>
      <c r="K66" s="674"/>
      <c r="L66" s="674"/>
      <c r="M66" s="674"/>
      <c r="N66" s="674"/>
      <c r="O66" s="674"/>
      <c r="P66" s="674"/>
    </row>
    <row r="67" spans="1:16" x14ac:dyDescent="0.2">
      <c r="A67" s="674"/>
      <c r="B67" s="674"/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  <c r="N67" s="674"/>
      <c r="O67" s="674"/>
      <c r="P67" s="674"/>
    </row>
    <row r="68" spans="1:16" x14ac:dyDescent="0.2">
      <c r="A68" s="674"/>
      <c r="B68" s="674"/>
      <c r="C68" s="674"/>
      <c r="D68" s="674"/>
      <c r="E68" s="674"/>
      <c r="F68" s="674"/>
      <c r="G68" s="674"/>
      <c r="H68" s="674"/>
      <c r="I68" s="674"/>
      <c r="J68" s="674"/>
      <c r="K68" s="674"/>
      <c r="L68" s="674"/>
      <c r="M68" s="674"/>
      <c r="N68" s="674"/>
      <c r="O68" s="674"/>
      <c r="P68" s="674"/>
    </row>
    <row r="69" spans="1:16" x14ac:dyDescent="0.2">
      <c r="A69" s="674"/>
      <c r="B69" s="674"/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674"/>
      <c r="N69" s="674"/>
      <c r="O69" s="674"/>
      <c r="P69" s="674"/>
    </row>
    <row r="70" spans="1:16" x14ac:dyDescent="0.2">
      <c r="A70" s="674"/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L70" s="674"/>
      <c r="M70" s="674"/>
      <c r="N70" s="674"/>
      <c r="O70" s="674"/>
      <c r="P70" s="674"/>
    </row>
    <row r="71" spans="1:16" x14ac:dyDescent="0.2">
      <c r="A71" s="674"/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L71" s="674"/>
      <c r="M71" s="674"/>
      <c r="N71" s="674"/>
      <c r="O71" s="674"/>
      <c r="P71" s="674"/>
    </row>
    <row r="72" spans="1:16" x14ac:dyDescent="0.2">
      <c r="A72" s="674"/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L72" s="674"/>
      <c r="M72" s="674"/>
      <c r="N72" s="674"/>
      <c r="O72" s="674"/>
      <c r="P72" s="674"/>
    </row>
    <row r="73" spans="1:16" x14ac:dyDescent="0.2">
      <c r="A73" s="674"/>
      <c r="B73" s="674"/>
      <c r="C73" s="674"/>
      <c r="D73" s="674"/>
      <c r="E73" s="674"/>
      <c r="F73" s="674"/>
      <c r="G73" s="674"/>
      <c r="H73" s="674"/>
      <c r="I73" s="674"/>
      <c r="J73" s="674"/>
      <c r="K73" s="674"/>
      <c r="L73" s="674"/>
      <c r="M73" s="674"/>
      <c r="N73" s="674"/>
      <c r="O73" s="674"/>
      <c r="P73" s="674"/>
    </row>
    <row r="74" spans="1:16" x14ac:dyDescent="0.2">
      <c r="A74" s="674"/>
      <c r="B74" s="674"/>
      <c r="C74" s="674"/>
      <c r="D74" s="674"/>
      <c r="E74" s="674"/>
      <c r="F74" s="674"/>
      <c r="G74" s="674"/>
      <c r="H74" s="674"/>
      <c r="I74" s="674"/>
      <c r="J74" s="674"/>
      <c r="K74" s="674"/>
      <c r="L74" s="674"/>
      <c r="M74" s="674"/>
      <c r="N74" s="674"/>
      <c r="O74" s="674"/>
      <c r="P74" s="674"/>
    </row>
    <row r="75" spans="1:16" x14ac:dyDescent="0.2">
      <c r="A75" s="674"/>
      <c r="B75" s="674"/>
      <c r="C75" s="674"/>
      <c r="D75" s="674"/>
      <c r="E75" s="674"/>
      <c r="F75" s="674"/>
      <c r="G75" s="674"/>
      <c r="H75" s="674"/>
      <c r="I75" s="674"/>
      <c r="J75" s="674"/>
      <c r="K75" s="674"/>
      <c r="L75" s="674"/>
      <c r="M75" s="674"/>
      <c r="N75" s="674"/>
      <c r="O75" s="674"/>
      <c r="P75" s="674"/>
    </row>
    <row r="76" spans="1:16" x14ac:dyDescent="0.2">
      <c r="A76" s="674"/>
      <c r="B76" s="674"/>
      <c r="C76" s="674"/>
      <c r="D76" s="674"/>
      <c r="E76" s="674"/>
      <c r="F76" s="674"/>
      <c r="G76" s="674"/>
      <c r="H76" s="674"/>
      <c r="I76" s="674"/>
      <c r="J76" s="674"/>
      <c r="K76" s="674"/>
      <c r="L76" s="674"/>
      <c r="M76" s="674"/>
      <c r="N76" s="674"/>
      <c r="O76" s="674"/>
      <c r="P76" s="674"/>
    </row>
    <row r="77" spans="1:16" x14ac:dyDescent="0.2">
      <c r="A77" s="674"/>
      <c r="B77" s="674"/>
      <c r="C77" s="674"/>
      <c r="D77" s="674"/>
      <c r="E77" s="674"/>
      <c r="F77" s="674"/>
      <c r="G77" s="674"/>
      <c r="H77" s="674"/>
      <c r="I77" s="674"/>
      <c r="J77" s="674"/>
      <c r="K77" s="674"/>
      <c r="L77" s="674"/>
      <c r="M77" s="674"/>
      <c r="N77" s="674"/>
      <c r="O77" s="674"/>
      <c r="P77" s="674"/>
    </row>
    <row r="78" spans="1:16" x14ac:dyDescent="0.2">
      <c r="A78" s="674"/>
      <c r="B78" s="674"/>
      <c r="C78" s="674"/>
      <c r="D78" s="674"/>
      <c r="E78" s="674"/>
      <c r="F78" s="674"/>
      <c r="G78" s="674"/>
      <c r="H78" s="674"/>
      <c r="I78" s="674"/>
      <c r="J78" s="674"/>
      <c r="K78" s="674"/>
      <c r="L78" s="674"/>
      <c r="M78" s="674"/>
      <c r="N78" s="674"/>
      <c r="O78" s="674"/>
      <c r="P78" s="674"/>
    </row>
    <row r="79" spans="1:16" x14ac:dyDescent="0.2">
      <c r="A79" s="674"/>
      <c r="B79" s="674"/>
      <c r="C79" s="674"/>
      <c r="D79" s="674"/>
      <c r="E79" s="674"/>
      <c r="F79" s="674"/>
      <c r="G79" s="674"/>
      <c r="H79" s="674"/>
      <c r="I79" s="674"/>
      <c r="J79" s="674"/>
      <c r="K79" s="674"/>
      <c r="L79" s="674"/>
      <c r="M79" s="674"/>
      <c r="N79" s="674"/>
      <c r="O79" s="674"/>
      <c r="P79" s="674"/>
    </row>
    <row r="80" spans="1:16" x14ac:dyDescent="0.2">
      <c r="A80" s="674"/>
      <c r="B80" s="674"/>
      <c r="C80" s="674"/>
      <c r="D80" s="674"/>
      <c r="E80" s="674"/>
      <c r="F80" s="674"/>
      <c r="G80" s="674"/>
      <c r="H80" s="674"/>
      <c r="I80" s="674"/>
      <c r="J80" s="674"/>
      <c r="K80" s="674"/>
      <c r="L80" s="674"/>
      <c r="M80" s="674"/>
      <c r="N80" s="674"/>
      <c r="O80" s="674"/>
      <c r="P80" s="674"/>
    </row>
    <row r="81" spans="1:16" x14ac:dyDescent="0.2">
      <c r="A81" s="674"/>
      <c r="B81" s="674"/>
      <c r="C81" s="674"/>
      <c r="D81" s="674"/>
      <c r="E81" s="674"/>
      <c r="F81" s="674"/>
      <c r="G81" s="674"/>
      <c r="H81" s="674"/>
      <c r="I81" s="674"/>
      <c r="J81" s="674"/>
      <c r="K81" s="674"/>
      <c r="L81" s="674"/>
      <c r="M81" s="674"/>
      <c r="N81" s="674"/>
      <c r="O81" s="674"/>
      <c r="P81" s="674"/>
    </row>
    <row r="82" spans="1:16" x14ac:dyDescent="0.2">
      <c r="A82" s="674"/>
      <c r="B82" s="674"/>
      <c r="C82" s="674"/>
      <c r="D82" s="674"/>
      <c r="E82" s="674"/>
      <c r="F82" s="674"/>
      <c r="G82" s="674"/>
      <c r="H82" s="674"/>
      <c r="I82" s="674"/>
      <c r="J82" s="674"/>
      <c r="K82" s="674"/>
      <c r="L82" s="674"/>
      <c r="M82" s="674"/>
      <c r="N82" s="674"/>
      <c r="O82" s="674"/>
      <c r="P82" s="674"/>
    </row>
    <row r="83" spans="1:16" x14ac:dyDescent="0.2">
      <c r="A83" s="674"/>
      <c r="B83" s="674"/>
      <c r="C83" s="674"/>
      <c r="D83" s="674"/>
      <c r="E83" s="674"/>
      <c r="F83" s="674"/>
      <c r="G83" s="674"/>
      <c r="H83" s="674"/>
      <c r="I83" s="674"/>
      <c r="J83" s="674"/>
      <c r="K83" s="674"/>
      <c r="L83" s="674"/>
      <c r="M83" s="674"/>
      <c r="N83" s="674"/>
      <c r="O83" s="674"/>
      <c r="P83" s="674"/>
    </row>
  </sheetData>
  <sheetProtection password="C5DD" sheet="1" objects="1" scenarios="1" formatCells="0" formatColumns="0" formatRows="0"/>
  <mergeCells count="63">
    <mergeCell ref="P18:P19"/>
    <mergeCell ref="A24:B24"/>
    <mergeCell ref="I24:J24"/>
    <mergeCell ref="K24:L24"/>
    <mergeCell ref="N24:O24"/>
    <mergeCell ref="A21:B21"/>
    <mergeCell ref="I21:J21"/>
    <mergeCell ref="K21:L21"/>
    <mergeCell ref="A22:B22"/>
    <mergeCell ref="I22:J22"/>
    <mergeCell ref="K22:L22"/>
    <mergeCell ref="N22:O22"/>
    <mergeCell ref="N21:O21"/>
    <mergeCell ref="A20:B20"/>
    <mergeCell ref="I20:J20"/>
    <mergeCell ref="K20:L20"/>
    <mergeCell ref="A28:B28"/>
    <mergeCell ref="A23:B23"/>
    <mergeCell ref="I23:J23"/>
    <mergeCell ref="K23:L23"/>
    <mergeCell ref="N23:O23"/>
    <mergeCell ref="A25:B25"/>
    <mergeCell ref="I25:J25"/>
    <mergeCell ref="K25:L25"/>
    <mergeCell ref="N25:O25"/>
    <mergeCell ref="A26:B26"/>
    <mergeCell ref="I26:J26"/>
    <mergeCell ref="K26:L26"/>
    <mergeCell ref="N26:O26"/>
    <mergeCell ref="A18:B19"/>
    <mergeCell ref="C18:C19"/>
    <mergeCell ref="E18:E19"/>
    <mergeCell ref="F18:H18"/>
    <mergeCell ref="I18:J19"/>
    <mergeCell ref="D18:D19"/>
    <mergeCell ref="I7:J8"/>
    <mergeCell ref="N20:O20"/>
    <mergeCell ref="K18:L19"/>
    <mergeCell ref="M18:O18"/>
    <mergeCell ref="N19:O19"/>
    <mergeCell ref="A14:B14"/>
    <mergeCell ref="I12:J12"/>
    <mergeCell ref="K12:L12"/>
    <mergeCell ref="N12:O12"/>
    <mergeCell ref="I11:J11"/>
    <mergeCell ref="K11:L11"/>
    <mergeCell ref="B12:C12"/>
    <mergeCell ref="B7:C8"/>
    <mergeCell ref="B9:C9"/>
    <mergeCell ref="B10:C10"/>
    <mergeCell ref="B11:C11"/>
    <mergeCell ref="N11:O11"/>
    <mergeCell ref="N9:O9"/>
    <mergeCell ref="M7:O8"/>
    <mergeCell ref="I10:J10"/>
    <mergeCell ref="K10:L10"/>
    <mergeCell ref="N10:O10"/>
    <mergeCell ref="I9:J9"/>
    <mergeCell ref="K9:L9"/>
    <mergeCell ref="K7:L8"/>
    <mergeCell ref="D7:D8"/>
    <mergeCell ref="E7:E8"/>
    <mergeCell ref="F7:H7"/>
  </mergeCells>
  <phoneticPr fontId="27" type="noConversion"/>
  <dataValidations disablePrompts="1" count="2">
    <dataValidation type="list" allowBlank="1" showInputMessage="1" showErrorMessage="1" sqref="N20:O26">
      <formula1>$B$31:$B$52</formula1>
    </dataValidation>
    <dataValidation type="list" allowBlank="1" showInputMessage="1" showErrorMessage="1" sqref="P20:P26">
      <formula1>$E$32:$E$43</formula1>
    </dataValidation>
  </dataValidations>
  <pageMargins left="0.78740157480314965" right="0.78740157480314965" top="0.98425196850393704" bottom="0.98425196850393704" header="0.51181102362204722" footer="0.51181102362204722"/>
  <pageSetup paperSize="9" scale="70" orientation="landscape" r:id="rId1"/>
  <headerFooter>
    <oddHeader>&amp;L&amp;A&amp;C&amp;U&amp;F&amp;R&amp;D</oddHeader>
    <oddFooter>&amp;LVersion of 19/05/2016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Q73"/>
  <sheetViews>
    <sheetView zoomScale="85" zoomScaleNormal="85" zoomScaleSheetLayoutView="85" workbookViewId="0">
      <selection activeCell="G34" sqref="G34"/>
    </sheetView>
  </sheetViews>
  <sheetFormatPr baseColWidth="10" defaultRowHeight="12.75" x14ac:dyDescent="0.2"/>
  <cols>
    <col min="1" max="1" width="9.28515625" style="61" customWidth="1"/>
    <col min="2" max="2" width="18.42578125" style="61" customWidth="1"/>
    <col min="3" max="3" width="10.5703125" style="61" customWidth="1"/>
    <col min="4" max="4" width="9.7109375" style="61" customWidth="1"/>
    <col min="5" max="5" width="10.85546875" style="61" customWidth="1"/>
    <col min="6" max="6" width="10.42578125" style="61" customWidth="1"/>
    <col min="7" max="9" width="6.7109375" style="61" customWidth="1"/>
    <col min="10" max="10" width="8.85546875" style="61" customWidth="1"/>
    <col min="11" max="11" width="12" style="61" customWidth="1"/>
    <col min="12" max="12" width="11.42578125" style="61"/>
    <col min="13" max="13" width="17.7109375" style="61" customWidth="1"/>
    <col min="14" max="16384" width="11.42578125" style="61"/>
  </cols>
  <sheetData>
    <row r="1" spans="1:17" ht="12" customHeight="1" x14ac:dyDescent="0.2">
      <c r="A1" s="15" t="s">
        <v>334</v>
      </c>
      <c r="B1" s="198" t="str">
        <f>IF(Report!K5=0," ",Report!K5)</f>
        <v xml:space="preserve"> </v>
      </c>
    </row>
    <row r="2" spans="1:17" ht="12" customHeight="1" x14ac:dyDescent="0.2">
      <c r="A2" s="18" t="s">
        <v>335</v>
      </c>
      <c r="B2" s="428"/>
    </row>
    <row r="3" spans="1:17" ht="19.5" customHeight="1" thickBot="1" x14ac:dyDescent="0.3">
      <c r="A3" s="633" t="s">
        <v>566</v>
      </c>
      <c r="B3" s="104"/>
      <c r="C3" s="104"/>
      <c r="D3" s="104"/>
      <c r="E3" s="104"/>
      <c r="F3" s="104"/>
      <c r="G3" s="104"/>
      <c r="H3" s="104"/>
      <c r="I3" s="104"/>
      <c r="J3" s="104"/>
      <c r="L3" s="127" t="s">
        <v>547</v>
      </c>
    </row>
    <row r="4" spans="1:17" ht="12" customHeight="1" x14ac:dyDescent="0.2">
      <c r="A4" s="105"/>
      <c r="B4" s="105"/>
      <c r="C4" s="105"/>
      <c r="D4" s="105"/>
      <c r="E4" s="105"/>
      <c r="F4" s="105"/>
      <c r="G4" s="105"/>
      <c r="I4" s="1062" t="s">
        <v>336</v>
      </c>
      <c r="J4" s="1059" t="s">
        <v>337</v>
      </c>
      <c r="L4" s="127">
        <f>Report!C24</f>
        <v>0</v>
      </c>
    </row>
    <row r="5" spans="1:17" ht="12" customHeight="1" x14ac:dyDescent="0.2">
      <c r="A5" s="105"/>
      <c r="B5" s="1066"/>
      <c r="C5" s="1066"/>
      <c r="D5" s="17"/>
      <c r="E5" s="105"/>
      <c r="F5" s="177"/>
      <c r="G5" s="177"/>
      <c r="I5" s="1063"/>
      <c r="J5" s="1060"/>
    </row>
    <row r="6" spans="1:17" ht="12" customHeight="1" x14ac:dyDescent="0.2">
      <c r="A6" s="167"/>
      <c r="B6" s="166"/>
      <c r="C6" s="163"/>
      <c r="D6" s="105"/>
      <c r="E6" s="171"/>
      <c r="F6" s="171"/>
      <c r="G6" s="171"/>
      <c r="I6" s="1063"/>
      <c r="J6" s="1060"/>
      <c r="L6" s="208" t="s">
        <v>660</v>
      </c>
      <c r="M6" s="100"/>
      <c r="N6" s="121"/>
      <c r="O6" s="121"/>
      <c r="P6" s="121"/>
      <c r="Q6" s="121"/>
    </row>
    <row r="7" spans="1:17" ht="25.5" customHeight="1" x14ac:dyDescent="0.2">
      <c r="A7" s="167"/>
      <c r="B7" s="178"/>
      <c r="C7" s="179"/>
      <c r="D7" s="20"/>
      <c r="E7" s="171"/>
      <c r="F7" s="171"/>
      <c r="G7" s="171"/>
      <c r="I7" s="1063"/>
      <c r="J7" s="1060"/>
      <c r="L7" s="293" t="s">
        <v>338</v>
      </c>
      <c r="M7" s="185" t="s">
        <v>339</v>
      </c>
      <c r="N7" s="306" t="s">
        <v>340</v>
      </c>
      <c r="O7" s="306" t="s">
        <v>341</v>
      </c>
      <c r="P7" s="306" t="s">
        <v>342</v>
      </c>
      <c r="Q7" s="307" t="s">
        <v>343</v>
      </c>
    </row>
    <row r="8" spans="1:17" ht="15.75" customHeight="1" x14ac:dyDescent="0.2">
      <c r="A8" s="168"/>
      <c r="B8" s="164"/>
      <c r="C8" s="179"/>
      <c r="D8" s="20"/>
      <c r="E8" s="171"/>
      <c r="F8" s="171"/>
      <c r="G8" s="171"/>
      <c r="I8" s="1063"/>
      <c r="J8" s="1060"/>
      <c r="L8" s="707">
        <v>1</v>
      </c>
      <c r="M8" s="185" t="s">
        <v>344</v>
      </c>
      <c r="N8" s="750"/>
      <c r="O8" s="750"/>
      <c r="P8" s="682"/>
      <c r="Q8" s="750"/>
    </row>
    <row r="9" spans="1:17" ht="14.25" customHeight="1" thickBot="1" x14ac:dyDescent="0.25">
      <c r="A9" s="168"/>
      <c r="B9" s="165"/>
      <c r="C9" s="179"/>
      <c r="D9" s="20"/>
      <c r="E9" s="105"/>
      <c r="F9" s="105"/>
      <c r="G9" s="105"/>
      <c r="I9" s="1064"/>
      <c r="J9" s="1061"/>
      <c r="L9" s="708"/>
      <c r="M9" s="185" t="s">
        <v>345</v>
      </c>
      <c r="N9" s="682"/>
      <c r="O9" s="682"/>
      <c r="P9" s="750"/>
      <c r="Q9" s="682"/>
    </row>
    <row r="10" spans="1:17" ht="22.5" customHeight="1" x14ac:dyDescent="0.2">
      <c r="A10" s="168"/>
      <c r="B10" s="164"/>
      <c r="C10" s="179"/>
      <c r="D10" s="20"/>
      <c r="E10" s="105"/>
      <c r="F10" s="105"/>
      <c r="G10" s="105"/>
      <c r="I10" s="532" t="str">
        <f>Report!Q9</f>
        <v>A</v>
      </c>
      <c r="J10" s="172" t="str">
        <f>Report!R9</f>
        <v/>
      </c>
      <c r="L10" s="707">
        <v>2</v>
      </c>
      <c r="M10" s="185" t="s">
        <v>346</v>
      </c>
      <c r="N10" s="682"/>
      <c r="O10" s="682"/>
      <c r="P10" s="750"/>
      <c r="Q10" s="1058"/>
    </row>
    <row r="11" spans="1:17" ht="27.75" customHeight="1" x14ac:dyDescent="0.2">
      <c r="A11" s="167"/>
      <c r="B11" s="169"/>
      <c r="C11" s="103"/>
      <c r="D11" s="20"/>
      <c r="E11" s="105"/>
      <c r="F11" s="105"/>
      <c r="G11" s="105"/>
      <c r="I11" s="533" t="str">
        <f>Report!Q10</f>
        <v>B</v>
      </c>
      <c r="J11" s="173">
        <f>Report!R10</f>
        <v>500</v>
      </c>
      <c r="L11" s="709">
        <v>3</v>
      </c>
      <c r="M11" s="742" t="s">
        <v>561</v>
      </c>
      <c r="N11" s="682"/>
      <c r="O11" s="682"/>
      <c r="P11" s="750"/>
      <c r="Q11" s="1058"/>
    </row>
    <row r="12" spans="1:17" ht="17.25" customHeight="1" x14ac:dyDescent="0.2">
      <c r="A12" s="167"/>
      <c r="B12" s="13"/>
      <c r="C12" s="179"/>
      <c r="D12" s="103"/>
      <c r="E12" s="105"/>
      <c r="F12" s="105"/>
      <c r="G12" s="105"/>
      <c r="I12" s="533" t="str">
        <f>Report!Q11</f>
        <v>C</v>
      </c>
      <c r="J12" s="173">
        <f>Report!R11</f>
        <v>100</v>
      </c>
      <c r="L12" s="709">
        <v>4</v>
      </c>
      <c r="M12" s="185" t="s">
        <v>347</v>
      </c>
      <c r="N12" s="682"/>
      <c r="O12" s="682"/>
      <c r="P12" s="750"/>
      <c r="Q12" s="1058"/>
    </row>
    <row r="13" spans="1:17" ht="17.25" customHeight="1" x14ac:dyDescent="0.2">
      <c r="A13" s="167"/>
      <c r="B13" s="105"/>
      <c r="C13" s="105"/>
      <c r="D13" s="105"/>
      <c r="E13" s="105"/>
      <c r="F13" s="105"/>
      <c r="G13" s="105"/>
      <c r="I13" s="533" t="str">
        <f>Report!Q12</f>
        <v>D</v>
      </c>
      <c r="J13" s="173">
        <f>Report!R12</f>
        <v>60</v>
      </c>
    </row>
    <row r="14" spans="1:17" ht="17.25" customHeight="1" x14ac:dyDescent="0.2">
      <c r="A14" s="167"/>
      <c r="B14" s="13"/>
      <c r="C14" s="145"/>
      <c r="D14" s="32"/>
      <c r="E14" s="105"/>
      <c r="F14" s="105"/>
      <c r="G14" s="105"/>
      <c r="I14" s="533" t="str">
        <f>Report!Q13</f>
        <v>E</v>
      </c>
      <c r="J14" s="173">
        <f>Report!R13</f>
        <v>40</v>
      </c>
    </row>
    <row r="15" spans="1:17" ht="17.25" customHeight="1" x14ac:dyDescent="0.2">
      <c r="A15" s="106"/>
      <c r="B15" s="170"/>
      <c r="C15" s="103"/>
      <c r="D15" s="32"/>
      <c r="E15" s="105"/>
      <c r="F15" s="105"/>
      <c r="G15" s="105"/>
      <c r="I15" s="533" t="str">
        <f>Report!Q14</f>
        <v>F</v>
      </c>
      <c r="J15" s="173">
        <f>Report!R14</f>
        <v>20</v>
      </c>
    </row>
    <row r="16" spans="1:17" ht="17.25" customHeight="1" x14ac:dyDescent="0.2">
      <c r="I16" s="533" t="str">
        <f>Report!Q15</f>
        <v>G</v>
      </c>
      <c r="J16" s="173">
        <f>Report!R15</f>
        <v>10</v>
      </c>
    </row>
    <row r="17" spans="1:15" ht="17.25" customHeight="1" x14ac:dyDescent="0.2">
      <c r="I17" s="533" t="str">
        <f>Report!Q16</f>
        <v>H</v>
      </c>
      <c r="J17" s="173">
        <f>Report!R16</f>
        <v>5</v>
      </c>
    </row>
    <row r="18" spans="1:15" ht="17.25" customHeight="1" x14ac:dyDescent="0.2">
      <c r="I18" s="533" t="str">
        <f>Report!Q17</f>
        <v>I</v>
      </c>
      <c r="J18" s="173">
        <f>Report!R17</f>
        <v>1</v>
      </c>
    </row>
    <row r="19" spans="1:15" ht="17.25" customHeight="1" x14ac:dyDescent="0.2">
      <c r="I19" s="535"/>
      <c r="J19" s="534"/>
    </row>
    <row r="20" spans="1:15" ht="17.25" customHeight="1" x14ac:dyDescent="0.2">
      <c r="A20" s="148" t="s">
        <v>563</v>
      </c>
      <c r="B20" s="104"/>
      <c r="C20" s="104"/>
      <c r="D20" s="104"/>
      <c r="E20" s="104"/>
      <c r="F20" s="104"/>
      <c r="I20" s="535"/>
      <c r="J20" s="534"/>
    </row>
    <row r="21" spans="1:15" ht="17.25" customHeight="1" x14ac:dyDescent="0.25">
      <c r="A21" s="523" t="s">
        <v>348</v>
      </c>
      <c r="B21" s="1070" t="str">
        <f>B30</f>
        <v/>
      </c>
      <c r="C21" s="1071"/>
      <c r="D21" s="523"/>
      <c r="E21" s="523"/>
      <c r="F21" s="523"/>
      <c r="I21" s="535"/>
      <c r="J21" s="534"/>
    </row>
    <row r="22" spans="1:15" ht="17.25" customHeight="1" x14ac:dyDescent="0.2">
      <c r="B22" s="1072" t="s">
        <v>349</v>
      </c>
      <c r="C22" s="1074" t="s">
        <v>562</v>
      </c>
      <c r="D22" s="1072" t="s">
        <v>350</v>
      </c>
      <c r="E22" s="1075" t="s">
        <v>351</v>
      </c>
      <c r="F22" s="1077" t="s">
        <v>352</v>
      </c>
      <c r="I22" s="535"/>
      <c r="J22" s="534"/>
    </row>
    <row r="23" spans="1:15" ht="17.25" customHeight="1" thickBot="1" x14ac:dyDescent="0.25">
      <c r="B23" s="1073"/>
      <c r="C23" s="1073"/>
      <c r="D23" s="1073"/>
      <c r="E23" s="1076"/>
      <c r="F23" s="1076"/>
      <c r="I23" s="535"/>
      <c r="J23" s="534"/>
    </row>
    <row r="24" spans="1:15" ht="15.75" customHeight="1" thickBot="1" x14ac:dyDescent="0.25">
      <c r="A24" s="539">
        <f>Report!J29</f>
        <v>0</v>
      </c>
      <c r="B24" s="681"/>
      <c r="C24" s="681"/>
      <c r="D24" s="560">
        <f>B24/1000*C$40/C33</f>
        <v>0</v>
      </c>
      <c r="E24" s="540" t="e">
        <f>D24*100/C24</f>
        <v>#DIV/0!</v>
      </c>
      <c r="F24" s="541" t="e">
        <f>100-E24</f>
        <v>#DIV/0!</v>
      </c>
      <c r="I24" s="535"/>
      <c r="J24" s="534"/>
    </row>
    <row r="25" spans="1:15" ht="15.75" customHeight="1" thickBot="1" x14ac:dyDescent="0.25">
      <c r="A25" s="539">
        <f>Report!K29</f>
        <v>0</v>
      </c>
      <c r="B25" s="681"/>
      <c r="C25" s="681"/>
      <c r="D25" s="154">
        <f>B25/1000*C$40/C34</f>
        <v>0</v>
      </c>
      <c r="E25" s="540" t="e">
        <f>D25*100/C25</f>
        <v>#DIV/0!</v>
      </c>
      <c r="F25" s="541" t="e">
        <f>100-E25</f>
        <v>#DIV/0!</v>
      </c>
      <c r="I25" s="535"/>
      <c r="J25" s="534"/>
    </row>
    <row r="26" spans="1:15" ht="15.75" customHeight="1" thickBot="1" x14ac:dyDescent="0.25">
      <c r="A26" s="539">
        <f>Report!L29</f>
        <v>0</v>
      </c>
      <c r="B26" s="681"/>
      <c r="C26" s="681"/>
      <c r="D26" s="154">
        <f>B26/1000*C$40/C35</f>
        <v>0</v>
      </c>
      <c r="E26" s="540" t="e">
        <f>D26*100/C26</f>
        <v>#DIV/0!</v>
      </c>
      <c r="F26" s="541" t="e">
        <f>100-E26</f>
        <v>#DIV/0!</v>
      </c>
      <c r="I26" s="104"/>
      <c r="J26" s="121"/>
    </row>
    <row r="27" spans="1:15" ht="12" customHeight="1" x14ac:dyDescent="0.2">
      <c r="A27" s="176"/>
      <c r="B27" s="359"/>
      <c r="C27" s="359"/>
      <c r="D27" s="192"/>
      <c r="E27" s="537"/>
      <c r="F27" s="538"/>
      <c r="I27" s="104"/>
      <c r="J27" s="121"/>
    </row>
    <row r="28" spans="1:15" ht="16.5" customHeight="1" x14ac:dyDescent="0.2">
      <c r="L28" s="105"/>
      <c r="M28" s="105"/>
      <c r="N28" s="105"/>
      <c r="O28" s="105"/>
    </row>
    <row r="29" spans="1:15" ht="16.5" customHeight="1" x14ac:dyDescent="0.25">
      <c r="A29" s="633" t="s">
        <v>353</v>
      </c>
      <c r="B29" s="104"/>
      <c r="C29" s="104"/>
      <c r="D29" s="104"/>
      <c r="E29" s="104"/>
      <c r="F29" s="104"/>
    </row>
    <row r="30" spans="1:15" ht="25.5" customHeight="1" thickBot="1" x14ac:dyDescent="0.25">
      <c r="A30" s="536"/>
      <c r="B30" s="1067" t="str">
        <f>Report!$J$25</f>
        <v/>
      </c>
      <c r="C30" s="1067"/>
      <c r="D30" s="1068" t="s">
        <v>606</v>
      </c>
      <c r="E30" s="1069"/>
      <c r="F30" s="1069"/>
      <c r="G30" s="180"/>
    </row>
    <row r="31" spans="1:15" ht="54.75" customHeight="1" thickTop="1" thickBot="1" x14ac:dyDescent="0.25">
      <c r="A31" s="154"/>
      <c r="B31" s="196" t="s">
        <v>564</v>
      </c>
      <c r="C31" s="431" t="s">
        <v>570</v>
      </c>
      <c r="D31" s="461"/>
      <c r="E31" s="479" t="s">
        <v>565</v>
      </c>
      <c r="F31" s="356" t="s">
        <v>354</v>
      </c>
      <c r="G31" s="360"/>
    </row>
    <row r="32" spans="1:15" ht="54" customHeight="1" thickBot="1" x14ac:dyDescent="0.25">
      <c r="A32" s="791" t="s">
        <v>639</v>
      </c>
      <c r="B32" s="492">
        <f>Report!$J$26</f>
        <v>0</v>
      </c>
      <c r="C32" s="181">
        <f>C40/2</f>
        <v>0</v>
      </c>
      <c r="D32" s="432">
        <f>C32*D31</f>
        <v>0</v>
      </c>
      <c r="E32" s="733"/>
      <c r="F32" s="426"/>
      <c r="G32" s="360"/>
    </row>
    <row r="33" spans="1:7" ht="16.5" customHeight="1" thickTop="1" x14ac:dyDescent="0.2">
      <c r="A33" s="156" t="s">
        <v>355</v>
      </c>
      <c r="B33" s="386">
        <f>Report!J29</f>
        <v>0</v>
      </c>
      <c r="C33" s="717">
        <v>0.25</v>
      </c>
      <c r="D33" s="430">
        <f>C33*D31</f>
        <v>0</v>
      </c>
      <c r="E33" s="743"/>
      <c r="F33" s="187"/>
      <c r="G33" s="360"/>
    </row>
    <row r="34" spans="1:7" ht="16.5" customHeight="1" x14ac:dyDescent="0.2">
      <c r="A34" s="156" t="s">
        <v>356</v>
      </c>
      <c r="B34" s="386">
        <f>Report!K29</f>
        <v>0</v>
      </c>
      <c r="C34" s="718">
        <v>0.25</v>
      </c>
      <c r="D34" s="430">
        <f>C34*D31</f>
        <v>0</v>
      </c>
      <c r="E34" s="743"/>
      <c r="G34" s="157"/>
    </row>
    <row r="35" spans="1:7" ht="16.5" customHeight="1" thickBot="1" x14ac:dyDescent="0.25">
      <c r="A35" s="156" t="s">
        <v>357</v>
      </c>
      <c r="B35" s="386">
        <f>Report!L29</f>
        <v>0</v>
      </c>
      <c r="C35" s="719">
        <v>0.25</v>
      </c>
      <c r="D35" s="430">
        <f>C35*D31</f>
        <v>0</v>
      </c>
      <c r="E35" s="743"/>
      <c r="G35" s="157"/>
    </row>
    <row r="36" spans="1:7" ht="16.5" customHeight="1" thickTop="1" x14ac:dyDescent="0.3">
      <c r="A36" s="154"/>
      <c r="B36" s="728" t="s">
        <v>358</v>
      </c>
      <c r="C36" s="182">
        <f>C40-SUM(C32:C35,C39)</f>
        <v>-0.75</v>
      </c>
      <c r="D36" s="155">
        <f>D31*C36</f>
        <v>0</v>
      </c>
      <c r="E36" s="157"/>
      <c r="F36" s="157"/>
      <c r="G36" s="157"/>
    </row>
    <row r="37" spans="1:7" ht="16.5" customHeight="1" x14ac:dyDescent="0.2">
      <c r="A37" s="154"/>
      <c r="B37" s="158" t="s">
        <v>359</v>
      </c>
      <c r="C37" s="159">
        <f>SUM(C32:C36)</f>
        <v>0</v>
      </c>
      <c r="D37" s="159">
        <f>D32+D33+D34+D35+D36</f>
        <v>0</v>
      </c>
      <c r="E37" s="157"/>
      <c r="F37" s="195"/>
      <c r="G37" s="157"/>
    </row>
    <row r="38" spans="1:7" ht="16.5" customHeight="1" x14ac:dyDescent="0.2">
      <c r="A38" s="154"/>
      <c r="B38" s="157"/>
      <c r="C38" s="157"/>
      <c r="D38" s="157"/>
      <c r="E38" s="157"/>
      <c r="F38" s="157"/>
      <c r="G38" s="157"/>
    </row>
    <row r="39" spans="1:7" ht="16.5" customHeight="1" x14ac:dyDescent="0.2">
      <c r="A39" s="154"/>
      <c r="B39" s="153" t="s">
        <v>360</v>
      </c>
      <c r="C39" s="160">
        <f>Report!G32</f>
        <v>0</v>
      </c>
      <c r="D39" s="183" t="s">
        <v>361</v>
      </c>
      <c r="E39" s="157"/>
      <c r="F39" s="157"/>
      <c r="G39" s="157"/>
    </row>
    <row r="40" spans="1:7" ht="27" customHeight="1" x14ac:dyDescent="0.2">
      <c r="A40" s="161"/>
      <c r="B40" s="162" t="s">
        <v>362</v>
      </c>
      <c r="C40" s="184">
        <f>Report!$J$30</f>
        <v>0</v>
      </c>
      <c r="D40" s="183" t="s">
        <v>363</v>
      </c>
      <c r="E40" s="157"/>
      <c r="F40" s="157"/>
      <c r="G40" s="157"/>
    </row>
    <row r="41" spans="1:7" ht="16.5" customHeight="1" x14ac:dyDescent="0.2"/>
    <row r="42" spans="1:7" ht="16.5" customHeight="1" x14ac:dyDescent="0.2"/>
    <row r="43" spans="1:7" ht="16.5" customHeight="1" x14ac:dyDescent="0.2"/>
    <row r="44" spans="1:7" ht="16.5" customHeight="1" x14ac:dyDescent="0.2"/>
    <row r="45" spans="1:7" ht="16.5" customHeight="1" x14ac:dyDescent="0.2"/>
    <row r="46" spans="1:7" ht="16.5" customHeight="1" x14ac:dyDescent="0.2"/>
    <row r="47" spans="1:7" ht="16.5" customHeight="1" x14ac:dyDescent="0.2"/>
    <row r="48" spans="1:7" ht="16.5" customHeight="1" x14ac:dyDescent="0.2"/>
    <row r="49" ht="16.5" customHeight="1" x14ac:dyDescent="0.2"/>
    <row r="50" ht="16.5" customHeight="1" x14ac:dyDescent="0.2"/>
    <row r="67" spans="1:4" x14ac:dyDescent="0.2">
      <c r="A67" s="1065"/>
      <c r="B67" s="1065"/>
      <c r="C67" s="1065"/>
      <c r="D67" s="1065"/>
    </row>
    <row r="68" spans="1:4" x14ac:dyDescent="0.2">
      <c r="A68" s="122"/>
      <c r="B68" s="122"/>
      <c r="C68" s="122"/>
      <c r="D68" s="122"/>
    </row>
    <row r="69" spans="1:4" x14ac:dyDescent="0.2">
      <c r="A69" s="105"/>
      <c r="B69" s="105"/>
      <c r="C69" s="105"/>
      <c r="D69" s="105"/>
    </row>
    <row r="70" spans="1:4" x14ac:dyDescent="0.2">
      <c r="A70" s="123"/>
      <c r="B70" s="106"/>
      <c r="C70" s="106"/>
      <c r="D70" s="106"/>
    </row>
    <row r="71" spans="1:4" x14ac:dyDescent="0.2">
      <c r="A71" s="123"/>
      <c r="B71" s="106"/>
      <c r="C71" s="106"/>
      <c r="D71" s="106"/>
    </row>
    <row r="72" spans="1:4" x14ac:dyDescent="0.2">
      <c r="A72" s="123"/>
      <c r="B72" s="106"/>
      <c r="C72" s="106"/>
      <c r="D72" s="106"/>
    </row>
    <row r="73" spans="1:4" x14ac:dyDescent="0.2">
      <c r="A73" s="105"/>
      <c r="B73" s="105"/>
      <c r="C73" s="106"/>
      <c r="D73" s="105"/>
    </row>
  </sheetData>
  <sheetProtection password="C5DD" sheet="1" objects="1" scenarios="1" formatCells="0" formatColumns="0" formatRows="0"/>
  <mergeCells count="13">
    <mergeCell ref="Q10:Q12"/>
    <mergeCell ref="J4:J9"/>
    <mergeCell ref="I4:I9"/>
    <mergeCell ref="A67:D67"/>
    <mergeCell ref="B5:C5"/>
    <mergeCell ref="B30:C30"/>
    <mergeCell ref="D30:F30"/>
    <mergeCell ref="B21:C21"/>
    <mergeCell ref="B22:B23"/>
    <mergeCell ref="C22:C23"/>
    <mergeCell ref="D22:D23"/>
    <mergeCell ref="E22:E23"/>
    <mergeCell ref="F22:F23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&amp;L&amp;A&amp;C&amp;U&amp;F&amp;R&amp;D</oddHeader>
    <oddFooter>&amp;LVersion of 19/05/2016</oddFooter>
  </headerFooter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G71"/>
  <sheetViews>
    <sheetView zoomScale="85" zoomScaleNormal="85" zoomScaleSheetLayoutView="85" workbookViewId="0">
      <selection activeCell="N28" sqref="N28"/>
    </sheetView>
  </sheetViews>
  <sheetFormatPr baseColWidth="10" defaultRowHeight="12.75" x14ac:dyDescent="0.2"/>
  <cols>
    <col min="1" max="1" width="9.42578125" style="61" customWidth="1"/>
    <col min="2" max="2" width="4.42578125" style="61" customWidth="1"/>
    <col min="3" max="3" width="9.42578125" style="61" customWidth="1"/>
    <col min="4" max="13" width="6.7109375" style="61" customWidth="1"/>
    <col min="14" max="14" width="7.42578125" style="61" customWidth="1"/>
    <col min="15" max="15" width="11.42578125" style="61"/>
    <col min="16" max="16" width="4.7109375" style="61" customWidth="1"/>
    <col min="17" max="17" width="12.28515625" style="61" customWidth="1"/>
    <col min="18" max="18" width="20.7109375" style="61" customWidth="1"/>
    <col min="19" max="19" width="12.5703125" style="61" customWidth="1"/>
    <col min="20" max="20" width="14.5703125" style="61" customWidth="1"/>
    <col min="21" max="21" width="12.85546875" style="61" customWidth="1"/>
    <col min="22" max="22" width="10.7109375" style="61" customWidth="1"/>
    <col min="23" max="23" width="9.7109375" style="61" customWidth="1"/>
    <col min="24" max="24" width="18.7109375" style="61" customWidth="1"/>
    <col min="25" max="25" width="13.140625" style="61" customWidth="1"/>
    <col min="26" max="26" width="10.5703125" style="61" customWidth="1"/>
    <col min="27" max="27" width="12" style="61" customWidth="1"/>
    <col min="28" max="28" width="10.85546875" style="61" customWidth="1"/>
    <col min="29" max="29" width="9.5703125" style="61" customWidth="1"/>
    <col min="30" max="31" width="6.7109375" style="61" customWidth="1"/>
    <col min="32" max="33" width="5.7109375" style="61" customWidth="1"/>
    <col min="34" max="16384" width="11.42578125" style="61"/>
  </cols>
  <sheetData>
    <row r="1" spans="1:33" ht="12" customHeight="1" x14ac:dyDescent="0.2">
      <c r="A1" s="15" t="s">
        <v>364</v>
      </c>
      <c r="B1" s="15"/>
      <c r="C1" s="128" t="str">
        <f>IF(Report!K5="","",Report!K5)</f>
        <v/>
      </c>
      <c r="D1" s="15"/>
      <c r="E1" s="15"/>
      <c r="F1" s="15"/>
      <c r="G1" s="15"/>
      <c r="H1" s="15"/>
      <c r="I1" s="15"/>
      <c r="K1" s="198"/>
      <c r="L1" s="198"/>
      <c r="M1" s="198"/>
      <c r="N1" s="198"/>
      <c r="O1" s="198"/>
      <c r="Q1" s="148" t="s">
        <v>365</v>
      </c>
      <c r="R1" s="104"/>
      <c r="S1" s="104"/>
      <c r="T1" s="104"/>
      <c r="U1" s="104"/>
      <c r="V1" s="104"/>
    </row>
    <row r="2" spans="1:33" ht="12" customHeight="1" x14ac:dyDescent="0.25">
      <c r="A2" s="18" t="s">
        <v>366</v>
      </c>
      <c r="B2" s="18"/>
      <c r="C2" s="1109"/>
      <c r="D2" s="1110"/>
      <c r="E2" s="18"/>
      <c r="F2" s="18"/>
      <c r="G2" s="18"/>
      <c r="H2" s="18"/>
      <c r="I2" s="18"/>
      <c r="K2" s="521"/>
      <c r="L2" s="521"/>
      <c r="M2" s="521"/>
      <c r="N2" s="521"/>
      <c r="O2" s="521"/>
      <c r="Q2" s="792" t="s">
        <v>642</v>
      </c>
      <c r="R2" s="793" t="str">
        <f>R10</f>
        <v/>
      </c>
      <c r="S2" s="522"/>
      <c r="T2" s="522"/>
      <c r="U2" s="522"/>
      <c r="V2" s="522"/>
      <c r="W2" s="522"/>
    </row>
    <row r="3" spans="1:33" ht="18" customHeight="1" x14ac:dyDescent="0.25">
      <c r="A3" s="633" t="s">
        <v>367</v>
      </c>
      <c r="B3" s="148"/>
      <c r="C3" s="148"/>
      <c r="D3" s="148"/>
      <c r="E3" s="148"/>
      <c r="F3" s="148"/>
      <c r="G3" s="148"/>
      <c r="H3" s="148"/>
      <c r="I3" s="148"/>
      <c r="J3" s="191"/>
      <c r="K3" s="191"/>
      <c r="L3" s="191"/>
      <c r="M3" s="191"/>
      <c r="N3" s="191"/>
      <c r="O3" s="191"/>
      <c r="Q3" s="124"/>
      <c r="R3" s="1072" t="s">
        <v>368</v>
      </c>
      <c r="S3" s="1074" t="s">
        <v>562</v>
      </c>
      <c r="T3" s="1074" t="s">
        <v>569</v>
      </c>
      <c r="U3" s="1075" t="s">
        <v>369</v>
      </c>
      <c r="V3" s="1077" t="s">
        <v>370</v>
      </c>
    </row>
    <row r="4" spans="1:33" ht="18.75" customHeight="1" thickBot="1" x14ac:dyDescent="0.25">
      <c r="A4" s="148"/>
      <c r="B4" s="148"/>
      <c r="C4" s="148"/>
      <c r="D4" s="148"/>
      <c r="E4" s="148"/>
      <c r="F4" s="148"/>
      <c r="G4" s="148"/>
      <c r="H4" s="148"/>
      <c r="I4" s="148"/>
      <c r="J4" s="191"/>
      <c r="K4" s="191"/>
      <c r="L4" s="191"/>
      <c r="M4" s="191"/>
      <c r="N4" s="191"/>
      <c r="O4" s="191"/>
      <c r="R4" s="1141"/>
      <c r="S4" s="1141"/>
      <c r="T4" s="1072"/>
      <c r="U4" s="1140"/>
      <c r="V4" s="1139"/>
    </row>
    <row r="5" spans="1:33" ht="15.75" customHeight="1" thickBot="1" x14ac:dyDescent="0.25">
      <c r="A5" s="148"/>
      <c r="B5" s="148"/>
      <c r="C5" s="1117" t="s">
        <v>371</v>
      </c>
      <c r="D5" s="1118"/>
      <c r="E5" s="1118"/>
      <c r="F5" s="1118"/>
      <c r="G5" s="1118"/>
      <c r="H5" s="1117" t="s">
        <v>372</v>
      </c>
      <c r="I5" s="1118"/>
      <c r="J5" s="1118"/>
      <c r="K5" s="1118"/>
      <c r="L5" s="636"/>
      <c r="M5" s="1178" t="s">
        <v>373</v>
      </c>
      <c r="N5" s="1179"/>
      <c r="O5" s="697"/>
      <c r="Q5" s="176">
        <f>Report!C29</f>
        <v>0</v>
      </c>
      <c r="R5" s="713"/>
      <c r="S5" s="713"/>
      <c r="T5" s="192">
        <f>R5/1000*S$24/S17</f>
        <v>0</v>
      </c>
      <c r="U5" s="347" t="e">
        <f>T5*100/S5</f>
        <v>#DIV/0!</v>
      </c>
      <c r="V5" s="348" t="e">
        <f>100-U5</f>
        <v>#DIV/0!</v>
      </c>
    </row>
    <row r="6" spans="1:33" ht="15" customHeight="1" thickBot="1" x14ac:dyDescent="0.25">
      <c r="C6" s="1170" t="s">
        <v>374</v>
      </c>
      <c r="D6" s="1170" t="s">
        <v>375</v>
      </c>
      <c r="E6" s="1170" t="s">
        <v>376</v>
      </c>
      <c r="F6" s="1170" t="s">
        <v>377</v>
      </c>
      <c r="G6" s="1170" t="s">
        <v>378</v>
      </c>
      <c r="H6" s="1081" t="s">
        <v>379</v>
      </c>
      <c r="I6" s="1081" t="s">
        <v>380</v>
      </c>
      <c r="J6" s="1081" t="s">
        <v>381</v>
      </c>
      <c r="K6" s="1177" t="s">
        <v>641</v>
      </c>
      <c r="L6" s="1081"/>
      <c r="M6" s="1081"/>
      <c r="N6" s="1081"/>
      <c r="O6" s="1170"/>
      <c r="Q6" s="176">
        <f>Report!D29</f>
        <v>0</v>
      </c>
      <c r="R6" s="713"/>
      <c r="S6" s="713"/>
      <c r="T6" s="192">
        <f>R6/1000*S$24/S18</f>
        <v>0</v>
      </c>
      <c r="U6" s="347" t="e">
        <f>T6*100/S6</f>
        <v>#DIV/0!</v>
      </c>
      <c r="V6" s="348" t="e">
        <f>100-U6</f>
        <v>#DIV/0!</v>
      </c>
      <c r="AD6" s="121"/>
      <c r="AE6" s="121"/>
      <c r="AF6" s="121"/>
      <c r="AG6" s="121"/>
    </row>
    <row r="7" spans="1:33" ht="15" customHeight="1" thickBot="1" x14ac:dyDescent="0.25">
      <c r="C7" s="1171"/>
      <c r="D7" s="1171"/>
      <c r="E7" s="1171"/>
      <c r="F7" s="1171"/>
      <c r="G7" s="1171"/>
      <c r="H7" s="1082"/>
      <c r="I7" s="1082"/>
      <c r="J7" s="1082"/>
      <c r="K7" s="1082"/>
      <c r="L7" s="1082"/>
      <c r="M7" s="1082"/>
      <c r="N7" s="1082"/>
      <c r="O7" s="1171"/>
      <c r="Q7" s="176">
        <f>Report!E29</f>
        <v>0</v>
      </c>
      <c r="R7" s="713"/>
      <c r="S7" s="713"/>
      <c r="T7" s="192">
        <f>R7/1000*S$24/S19</f>
        <v>0</v>
      </c>
      <c r="U7" s="347" t="e">
        <f>T7*100/S7</f>
        <v>#DIV/0!</v>
      </c>
      <c r="V7" s="348" t="e">
        <f>100-U7</f>
        <v>#DIV/0!</v>
      </c>
      <c r="AD7" s="122"/>
      <c r="AE7" s="122"/>
      <c r="AF7" s="122"/>
      <c r="AG7" s="122"/>
    </row>
    <row r="8" spans="1:33" ht="32.25" customHeight="1" x14ac:dyDescent="0.2">
      <c r="C8" s="1171"/>
      <c r="D8" s="1171"/>
      <c r="E8" s="1171"/>
      <c r="F8" s="1171"/>
      <c r="G8" s="1171"/>
      <c r="H8" s="1082"/>
      <c r="I8" s="1082"/>
      <c r="J8" s="1082"/>
      <c r="K8" s="1082"/>
      <c r="L8" s="1082"/>
      <c r="M8" s="1082"/>
      <c r="N8" s="1082"/>
      <c r="O8" s="1171"/>
      <c r="Q8" s="128"/>
      <c r="R8" s="70"/>
      <c r="S8" s="70"/>
      <c r="U8" s="129"/>
      <c r="V8" s="129"/>
      <c r="AD8" s="105"/>
      <c r="AE8" s="105"/>
      <c r="AF8" s="105"/>
      <c r="AG8" s="105"/>
    </row>
    <row r="9" spans="1:33" ht="15" customHeight="1" thickBot="1" x14ac:dyDescent="0.3">
      <c r="C9" s="524">
        <v>1</v>
      </c>
      <c r="D9" s="524">
        <v>2</v>
      </c>
      <c r="E9" s="524">
        <v>3</v>
      </c>
      <c r="F9" s="524">
        <v>4</v>
      </c>
      <c r="G9" s="524">
        <v>5</v>
      </c>
      <c r="H9" s="524">
        <v>6</v>
      </c>
      <c r="I9" s="524">
        <v>7</v>
      </c>
      <c r="J9" s="524">
        <v>8</v>
      </c>
      <c r="K9" s="524">
        <v>9</v>
      </c>
      <c r="L9" s="524">
        <v>10</v>
      </c>
      <c r="M9" s="524">
        <v>11</v>
      </c>
      <c r="N9" s="524">
        <v>12</v>
      </c>
      <c r="O9" s="525"/>
      <c r="Q9" s="633" t="s">
        <v>382</v>
      </c>
      <c r="R9" s="104"/>
      <c r="S9" s="104"/>
      <c r="T9" s="104"/>
      <c r="U9" s="104"/>
      <c r="V9" s="104"/>
      <c r="AD9" s="105"/>
      <c r="AE9" s="105"/>
      <c r="AF9" s="105"/>
      <c r="AG9" s="105"/>
    </row>
    <row r="10" spans="1:33" ht="14.25" customHeight="1" thickTop="1" x14ac:dyDescent="0.2">
      <c r="A10" s="1122" t="s">
        <v>567</v>
      </c>
      <c r="B10" s="1131" t="s">
        <v>383</v>
      </c>
      <c r="C10" s="1116"/>
      <c r="D10" s="1116"/>
      <c r="E10" s="1116"/>
      <c r="F10" s="1116"/>
      <c r="G10" s="1116"/>
      <c r="H10" s="1116"/>
      <c r="I10" s="1116"/>
      <c r="J10" s="1116"/>
      <c r="K10" s="1116"/>
      <c r="L10" s="1173" t="s">
        <v>384</v>
      </c>
      <c r="M10" s="1169"/>
      <c r="N10" s="1119"/>
      <c r="O10" s="1098"/>
      <c r="Q10" s="522"/>
      <c r="R10" s="1172" t="str">
        <f>Report!C25</f>
        <v/>
      </c>
      <c r="S10" s="1172"/>
      <c r="T10" s="1150" t="s">
        <v>385</v>
      </c>
      <c r="U10" s="531"/>
      <c r="V10" s="531"/>
      <c r="W10" s="522"/>
      <c r="AD10" s="123"/>
      <c r="AE10" s="106"/>
      <c r="AF10" s="106"/>
      <c r="AG10" s="106"/>
    </row>
    <row r="11" spans="1:33" ht="15" customHeight="1" x14ac:dyDescent="0.2">
      <c r="A11" s="1123"/>
      <c r="B11" s="1132"/>
      <c r="C11" s="1113"/>
      <c r="D11" s="1113"/>
      <c r="E11" s="1113"/>
      <c r="F11" s="1113"/>
      <c r="G11" s="1113"/>
      <c r="H11" s="1113"/>
      <c r="I11" s="1113"/>
      <c r="J11" s="1113"/>
      <c r="K11" s="1113"/>
      <c r="L11" s="1174"/>
      <c r="M11" s="1126"/>
      <c r="N11" s="1120"/>
      <c r="O11" s="1099"/>
      <c r="Q11" s="522"/>
      <c r="R11" s="530"/>
      <c r="S11" s="530"/>
      <c r="T11" s="1151"/>
      <c r="U11" s="531"/>
      <c r="V11" s="531"/>
      <c r="W11" s="522"/>
      <c r="AD11" s="123"/>
      <c r="AE11" s="106"/>
      <c r="AF11" s="106"/>
      <c r="AG11" s="106"/>
    </row>
    <row r="12" spans="1:33" ht="15" customHeight="1" thickBot="1" x14ac:dyDescent="0.25">
      <c r="A12" s="1123"/>
      <c r="B12" s="1131" t="s">
        <v>386</v>
      </c>
      <c r="C12" s="1112"/>
      <c r="D12" s="1112"/>
      <c r="E12" s="1112"/>
      <c r="F12" s="1112"/>
      <c r="G12" s="1112"/>
      <c r="H12" s="1112"/>
      <c r="I12" s="1112"/>
      <c r="J12" s="1112"/>
      <c r="K12" s="1112"/>
      <c r="L12" s="1129" t="s">
        <v>387</v>
      </c>
      <c r="M12" s="1125"/>
      <c r="N12" s="1078"/>
      <c r="O12" s="1096"/>
      <c r="Q12" s="522"/>
      <c r="R12" s="530"/>
      <c r="S12" s="530"/>
      <c r="T12" s="1073"/>
      <c r="U12" s="531"/>
      <c r="V12" s="531"/>
      <c r="W12" s="522"/>
      <c r="AD12" s="123"/>
      <c r="AE12" s="106"/>
      <c r="AF12" s="106"/>
      <c r="AG12" s="106"/>
    </row>
    <row r="13" spans="1:33" ht="16.5" customHeight="1" thickTop="1" x14ac:dyDescent="0.2">
      <c r="A13" s="1124"/>
      <c r="B13" s="1132"/>
      <c r="C13" s="1113"/>
      <c r="D13" s="1113"/>
      <c r="E13" s="1113"/>
      <c r="F13" s="1113"/>
      <c r="G13" s="1113"/>
      <c r="H13" s="1113"/>
      <c r="I13" s="1113"/>
      <c r="J13" s="1113"/>
      <c r="K13" s="1113"/>
      <c r="L13" s="1130"/>
      <c r="M13" s="1126"/>
      <c r="N13" s="1079"/>
      <c r="O13" s="1097"/>
      <c r="R13" s="1162" t="s">
        <v>564</v>
      </c>
      <c r="S13" s="1164" t="s">
        <v>570</v>
      </c>
      <c r="T13" s="1166"/>
      <c r="U13" s="1160" t="s">
        <v>565</v>
      </c>
      <c r="V13" s="1152" t="s">
        <v>388</v>
      </c>
    </row>
    <row r="14" spans="1:33" ht="16.5" customHeight="1" thickBot="1" x14ac:dyDescent="0.25">
      <c r="A14" s="1124"/>
      <c r="B14" s="1131" t="s">
        <v>389</v>
      </c>
      <c r="C14" s="1112"/>
      <c r="D14" s="1112"/>
      <c r="E14" s="1112"/>
      <c r="F14" s="1112"/>
      <c r="G14" s="1112"/>
      <c r="H14" s="1112"/>
      <c r="I14" s="1112"/>
      <c r="J14" s="1112"/>
      <c r="K14" s="1112"/>
      <c r="L14" s="1129" t="s">
        <v>390</v>
      </c>
      <c r="M14" s="1125"/>
      <c r="N14" s="1078"/>
      <c r="O14" s="1096"/>
      <c r="R14" s="1163"/>
      <c r="S14" s="1165"/>
      <c r="T14" s="1167"/>
      <c r="U14" s="1161"/>
      <c r="V14" s="1151"/>
    </row>
    <row r="15" spans="1:33" ht="21.75" customHeight="1" thickTop="1" x14ac:dyDescent="0.2">
      <c r="A15" s="1124"/>
      <c r="B15" s="1132"/>
      <c r="C15" s="1113"/>
      <c r="D15" s="1113"/>
      <c r="E15" s="1113"/>
      <c r="F15" s="1113"/>
      <c r="G15" s="1113"/>
      <c r="H15" s="1113"/>
      <c r="I15" s="1113"/>
      <c r="J15" s="1113"/>
      <c r="K15" s="1113"/>
      <c r="L15" s="1130"/>
      <c r="M15" s="1126"/>
      <c r="N15" s="1175"/>
      <c r="O15" s="1097"/>
      <c r="R15" s="1153">
        <f>Report!C26</f>
        <v>0</v>
      </c>
      <c r="S15" s="1153">
        <f>S24/2</f>
        <v>0</v>
      </c>
      <c r="T15" s="1156">
        <f>S15*T$13</f>
        <v>0</v>
      </c>
      <c r="U15" s="1158"/>
      <c r="V15" s="1085"/>
      <c r="W15" s="1086"/>
    </row>
    <row r="16" spans="1:33" ht="23.25" customHeight="1" thickBot="1" x14ac:dyDescent="0.25">
      <c r="A16" s="1121"/>
      <c r="B16" s="1135" t="s">
        <v>391</v>
      </c>
      <c r="C16" s="1137" t="s">
        <v>392</v>
      </c>
      <c r="D16" s="1137" t="s">
        <v>393</v>
      </c>
      <c r="E16" s="1137" t="s">
        <v>394</v>
      </c>
      <c r="F16" s="1137" t="s">
        <v>395</v>
      </c>
      <c r="G16" s="1137" t="s">
        <v>396</v>
      </c>
      <c r="H16" s="1112"/>
      <c r="I16" s="1112"/>
      <c r="J16" s="1112"/>
      <c r="K16" s="1112"/>
      <c r="L16" s="1129" t="s">
        <v>397</v>
      </c>
      <c r="M16" s="1125"/>
      <c r="N16" s="1078"/>
      <c r="O16" s="1096"/>
      <c r="Q16" s="759" t="s">
        <v>640</v>
      </c>
      <c r="R16" s="1154"/>
      <c r="S16" s="1155"/>
      <c r="T16" s="1157"/>
      <c r="U16" s="1159"/>
      <c r="V16" s="1087"/>
      <c r="W16" s="1088"/>
    </row>
    <row r="17" spans="1:32" ht="15.75" customHeight="1" thickTop="1" x14ac:dyDescent="0.2">
      <c r="A17" s="972"/>
      <c r="B17" s="1136"/>
      <c r="C17" s="1138"/>
      <c r="D17" s="1138"/>
      <c r="E17" s="1138"/>
      <c r="F17" s="1138"/>
      <c r="G17" s="1138"/>
      <c r="H17" s="1113"/>
      <c r="I17" s="1113"/>
      <c r="J17" s="1113"/>
      <c r="K17" s="1113"/>
      <c r="L17" s="1130"/>
      <c r="M17" s="1126"/>
      <c r="N17" s="1175"/>
      <c r="O17" s="1097"/>
      <c r="Q17" s="147" t="s">
        <v>398</v>
      </c>
      <c r="R17" s="152">
        <f>Report!C29</f>
        <v>0</v>
      </c>
      <c r="S17" s="720">
        <v>0.25</v>
      </c>
      <c r="T17" s="425">
        <f>S17*T$13</f>
        <v>0</v>
      </c>
      <c r="U17" s="743"/>
      <c r="V17" s="187"/>
    </row>
    <row r="18" spans="1:32" ht="15" customHeight="1" x14ac:dyDescent="0.2">
      <c r="A18" s="1128" t="s">
        <v>399</v>
      </c>
      <c r="B18" s="1133" t="s">
        <v>400</v>
      </c>
      <c r="C18" s="1080"/>
      <c r="D18" s="1080"/>
      <c r="E18" s="1080"/>
      <c r="F18" s="1080"/>
      <c r="G18" s="1080"/>
      <c r="H18" s="1080"/>
      <c r="I18" s="1080"/>
      <c r="J18" s="1080"/>
      <c r="K18" s="1080"/>
      <c r="L18" s="1181" t="s">
        <v>401</v>
      </c>
      <c r="M18" s="1125"/>
      <c r="N18" s="1078"/>
      <c r="O18" s="1096"/>
      <c r="Q18" s="147" t="s">
        <v>402</v>
      </c>
      <c r="R18" s="152">
        <f>Report!D29</f>
        <v>0</v>
      </c>
      <c r="S18" s="721">
        <v>0.25</v>
      </c>
      <c r="T18" s="425">
        <f>S18*T$13</f>
        <v>0</v>
      </c>
      <c r="U18" s="743"/>
    </row>
    <row r="19" spans="1:32" ht="15" customHeight="1" thickBot="1" x14ac:dyDescent="0.25">
      <c r="A19" s="972"/>
      <c r="B19" s="1133"/>
      <c r="C19" s="1079"/>
      <c r="D19" s="1079"/>
      <c r="E19" s="1079"/>
      <c r="F19" s="1079"/>
      <c r="G19" s="1079"/>
      <c r="H19" s="1079"/>
      <c r="I19" s="1079"/>
      <c r="J19" s="1079"/>
      <c r="K19" s="1079"/>
      <c r="L19" s="1099"/>
      <c r="M19" s="1127"/>
      <c r="N19" s="1120"/>
      <c r="O19" s="1097"/>
      <c r="Q19" s="147" t="s">
        <v>403</v>
      </c>
      <c r="R19" s="152">
        <f>Report!E29</f>
        <v>0</v>
      </c>
      <c r="S19" s="722">
        <v>0.25</v>
      </c>
      <c r="T19" s="425">
        <f>S19*T$13</f>
        <v>0</v>
      </c>
      <c r="U19" s="743"/>
    </row>
    <row r="20" spans="1:32" ht="15" customHeight="1" thickTop="1" x14ac:dyDescent="0.3">
      <c r="A20" s="972"/>
      <c r="B20" s="1133" t="s">
        <v>404</v>
      </c>
      <c r="C20" s="1080"/>
      <c r="D20" s="1080"/>
      <c r="E20" s="1080"/>
      <c r="F20" s="1080"/>
      <c r="G20" s="1080"/>
      <c r="H20" s="1080"/>
      <c r="I20" s="1080"/>
      <c r="J20" s="1080"/>
      <c r="K20" s="1080"/>
      <c r="L20" s="1181" t="s">
        <v>405</v>
      </c>
      <c r="M20" s="1125"/>
      <c r="N20" s="1078"/>
      <c r="O20" s="1096"/>
      <c r="Q20" s="129"/>
      <c r="R20" s="727" t="s">
        <v>406</v>
      </c>
      <c r="S20" s="182">
        <f>(S24-(SUM(S15:S19,S23)))</f>
        <v>-0.75</v>
      </c>
      <c r="T20" s="139">
        <f>S20*T$13</f>
        <v>0</v>
      </c>
      <c r="AF20" s="70"/>
    </row>
    <row r="21" spans="1:32" ht="15" customHeight="1" x14ac:dyDescent="0.2">
      <c r="A21" s="972"/>
      <c r="B21" s="1133" t="s">
        <v>407</v>
      </c>
      <c r="C21" s="1079"/>
      <c r="D21" s="1079"/>
      <c r="E21" s="1079"/>
      <c r="F21" s="1079"/>
      <c r="G21" s="1079"/>
      <c r="H21" s="1079"/>
      <c r="I21" s="1079"/>
      <c r="J21" s="1079"/>
      <c r="K21" s="1079"/>
      <c r="L21" s="1099"/>
      <c r="M21" s="1127"/>
      <c r="N21" s="1120"/>
      <c r="O21" s="1097"/>
      <c r="Q21" s="129"/>
      <c r="R21" s="149" t="s">
        <v>408</v>
      </c>
      <c r="S21" s="189">
        <f>SUM(S15:S20)</f>
        <v>0</v>
      </c>
      <c r="T21" s="140">
        <f>SUM(T15:T20)</f>
        <v>0</v>
      </c>
      <c r="AF21" s="121"/>
    </row>
    <row r="22" spans="1:32" ht="12" customHeight="1" x14ac:dyDescent="0.2">
      <c r="A22" s="972"/>
      <c r="B22" s="1133" t="s">
        <v>409</v>
      </c>
      <c r="C22" s="1080"/>
      <c r="D22" s="1080"/>
      <c r="E22" s="1080"/>
      <c r="F22" s="1080"/>
      <c r="G22" s="1080"/>
      <c r="H22" s="1100"/>
      <c r="I22" s="1100"/>
      <c r="J22" s="1100"/>
      <c r="K22" s="1100"/>
      <c r="L22" s="1180" t="s">
        <v>410</v>
      </c>
      <c r="M22" s="1125"/>
      <c r="N22" s="1078"/>
      <c r="O22" s="1096"/>
      <c r="Q22" s="129"/>
      <c r="R22" s="7"/>
      <c r="S22" s="123"/>
      <c r="T22" s="123"/>
      <c r="AF22" s="121"/>
    </row>
    <row r="23" spans="1:32" ht="15.75" customHeight="1" x14ac:dyDescent="0.2">
      <c r="A23" s="972"/>
      <c r="B23" s="1134" t="s">
        <v>411</v>
      </c>
      <c r="C23" s="1079"/>
      <c r="D23" s="1079"/>
      <c r="E23" s="1079"/>
      <c r="F23" s="1079"/>
      <c r="G23" s="1079"/>
      <c r="H23" s="1101"/>
      <c r="I23" s="1101"/>
      <c r="J23" s="1101"/>
      <c r="K23" s="1101"/>
      <c r="L23" s="1099"/>
      <c r="M23" s="1127"/>
      <c r="N23" s="1120"/>
      <c r="O23" s="1097"/>
      <c r="Q23" s="129"/>
      <c r="R23" s="150" t="s">
        <v>412</v>
      </c>
      <c r="S23" s="141">
        <f>Report!$G$32</f>
        <v>0</v>
      </c>
      <c r="T23" s="144" t="s">
        <v>413</v>
      </c>
      <c r="X23" s="104"/>
      <c r="Y23" s="104"/>
      <c r="Z23" s="104"/>
      <c r="AA23" s="104"/>
      <c r="AB23" s="104"/>
    </row>
    <row r="24" spans="1:32" ht="27.75" customHeight="1" thickBot="1" x14ac:dyDescent="0.25">
      <c r="A24" s="625"/>
      <c r="B24" s="631" t="s">
        <v>414</v>
      </c>
      <c r="C24" s="724" t="s">
        <v>415</v>
      </c>
      <c r="D24" s="724" t="s">
        <v>416</v>
      </c>
      <c r="E24" s="724" t="s">
        <v>417</v>
      </c>
      <c r="F24" s="724" t="s">
        <v>418</v>
      </c>
      <c r="G24" s="724" t="s">
        <v>419</v>
      </c>
      <c r="H24" s="737"/>
      <c r="I24" s="737"/>
      <c r="J24" s="737"/>
      <c r="K24" s="737"/>
      <c r="L24" s="736" t="s">
        <v>420</v>
      </c>
      <c r="M24" s="710" t="s">
        <v>421</v>
      </c>
      <c r="N24" s="711" t="s">
        <v>422</v>
      </c>
      <c r="O24" s="712"/>
      <c r="Q24" s="129"/>
      <c r="R24" s="714" t="s">
        <v>423</v>
      </c>
      <c r="S24" s="698">
        <f>Report!C30</f>
        <v>0</v>
      </c>
      <c r="T24" s="699" t="s">
        <v>424</v>
      </c>
    </row>
    <row r="25" spans="1:32" ht="14.25" customHeight="1" thickTop="1" x14ac:dyDescent="0.2">
      <c r="A25" s="626"/>
      <c r="B25" s="627"/>
      <c r="C25" s="628"/>
      <c r="D25" s="628"/>
      <c r="E25" s="628"/>
      <c r="F25" s="628"/>
      <c r="G25" s="628"/>
      <c r="H25" s="628"/>
      <c r="I25" s="628"/>
      <c r="J25" s="628"/>
      <c r="K25" s="628"/>
      <c r="L25" s="629"/>
      <c r="M25" s="627"/>
      <c r="N25" s="627"/>
      <c r="O25" s="32"/>
      <c r="R25" s="561"/>
      <c r="S25" s="561"/>
      <c r="T25" s="561"/>
      <c r="U25" s="199"/>
      <c r="V25" s="199"/>
    </row>
    <row r="26" spans="1:32" ht="16.5" customHeight="1" x14ac:dyDescent="0.2">
      <c r="A26" s="32"/>
      <c r="B26" s="630"/>
      <c r="C26" s="627"/>
      <c r="D26" s="627"/>
      <c r="E26" s="627"/>
      <c r="F26" s="627"/>
      <c r="G26" s="627"/>
      <c r="H26" s="627"/>
      <c r="I26" s="627"/>
      <c r="J26" s="627"/>
      <c r="K26" s="627"/>
      <c r="L26" s="626"/>
      <c r="M26" s="626"/>
      <c r="N26" s="626"/>
      <c r="O26" s="630"/>
      <c r="AC26" s="358"/>
    </row>
    <row r="27" spans="1:32" ht="15.75" x14ac:dyDescent="0.2">
      <c r="A27" s="768" t="s">
        <v>425</v>
      </c>
      <c r="B27" s="66"/>
      <c r="C27" s="1114" t="str">
        <f>IF(Report!C24="","",Report!C24)</f>
        <v/>
      </c>
      <c r="D27" s="1115"/>
      <c r="E27" s="1115"/>
      <c r="AC27" s="359"/>
    </row>
    <row r="28" spans="1:32" ht="19.5" customHeight="1" x14ac:dyDescent="0.2">
      <c r="Q28" s="148" t="s">
        <v>426</v>
      </c>
      <c r="R28" s="104"/>
      <c r="S28" s="104"/>
      <c r="T28" s="104"/>
      <c r="U28" s="104"/>
      <c r="V28" s="104"/>
      <c r="AC28" s="58"/>
    </row>
    <row r="29" spans="1:32" ht="18" customHeight="1" x14ac:dyDescent="0.25">
      <c r="C29" s="94" t="s">
        <v>660</v>
      </c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508"/>
      <c r="O29" s="508"/>
      <c r="Q29" s="523" t="s">
        <v>427</v>
      </c>
      <c r="R29" s="1168" t="str">
        <f>R37</f>
        <v/>
      </c>
      <c r="S29" s="1168"/>
      <c r="T29" s="523"/>
      <c r="U29" s="523"/>
      <c r="V29" s="523"/>
      <c r="W29" s="632"/>
      <c r="AC29" s="58"/>
    </row>
    <row r="30" spans="1:32" ht="17.25" customHeight="1" x14ac:dyDescent="0.2">
      <c r="C30" s="1146" t="s">
        <v>428</v>
      </c>
      <c r="D30" s="1046"/>
      <c r="E30" s="1147" t="s">
        <v>429</v>
      </c>
      <c r="F30" s="1046"/>
      <c r="G30" s="1046"/>
      <c r="H30" s="1046"/>
      <c r="I30" s="1144" t="s">
        <v>430</v>
      </c>
      <c r="J30" s="1105"/>
      <c r="K30" s="1147" t="s">
        <v>431</v>
      </c>
      <c r="L30" s="1046"/>
      <c r="M30" s="1144" t="s">
        <v>432</v>
      </c>
      <c r="N30" s="1105"/>
      <c r="O30" s="1142" t="s">
        <v>433</v>
      </c>
      <c r="R30" s="1072" t="s">
        <v>434</v>
      </c>
      <c r="S30" s="1074" t="s">
        <v>562</v>
      </c>
      <c r="T30" s="1074" t="s">
        <v>569</v>
      </c>
      <c r="U30" s="1075" t="s">
        <v>435</v>
      </c>
      <c r="V30" s="1077" t="s">
        <v>436</v>
      </c>
      <c r="AC30" s="58"/>
    </row>
    <row r="31" spans="1:32" ht="15" customHeight="1" x14ac:dyDescent="0.2">
      <c r="C31" s="1111"/>
      <c r="D31" s="1103"/>
      <c r="E31" s="1103"/>
      <c r="F31" s="1103"/>
      <c r="G31" s="1103"/>
      <c r="H31" s="1103"/>
      <c r="I31" s="1145"/>
      <c r="J31" s="1145"/>
      <c r="K31" s="1148"/>
      <c r="L31" s="1148"/>
      <c r="M31" s="1145"/>
      <c r="N31" s="1145"/>
      <c r="O31" s="1143"/>
      <c r="R31" s="1149"/>
      <c r="S31" s="1149"/>
      <c r="T31" s="1141"/>
      <c r="U31" s="1140"/>
      <c r="V31" s="1139"/>
    </row>
    <row r="32" spans="1:32" ht="15" customHeight="1" x14ac:dyDescent="0.2">
      <c r="C32" s="1094">
        <v>1</v>
      </c>
      <c r="D32" s="1103"/>
      <c r="E32" s="1102" t="s">
        <v>437</v>
      </c>
      <c r="F32" s="1103"/>
      <c r="G32" s="1103"/>
      <c r="H32" s="1103"/>
      <c r="I32" s="1089" t="str">
        <f>IF('Plate layout A “LOD_LOQ”'!N8="","",'Plate layout A “LOD_LOQ”'!N8)</f>
        <v/>
      </c>
      <c r="J32" s="1090"/>
      <c r="K32" s="1089" t="str">
        <f>IF('Plate layout A “LOD_LOQ”'!O8="","",'Plate layout A “LOD_LOQ”'!O8)</f>
        <v/>
      </c>
      <c r="L32" s="1090"/>
      <c r="M32" s="1089" t="str">
        <f>IF('Plate layout A “LOD_LOQ”'!P8="","",'Plate layout A “LOD_LOQ”'!P8)</f>
        <v/>
      </c>
      <c r="N32" s="1090"/>
      <c r="O32" s="292" t="str">
        <f>IF('Plate layout A “LOD_LOQ”'!Q8="","",'Plate layout A “LOD_LOQ”'!Q8)</f>
        <v/>
      </c>
      <c r="Q32" s="176">
        <f>Report!J29</f>
        <v>0</v>
      </c>
      <c r="R32" s="346">
        <f>'Plate layout A “LOD_LOQ”'!B24</f>
        <v>0</v>
      </c>
      <c r="S32" s="346">
        <f>'Plate layout A “LOD_LOQ”'!C24</f>
        <v>0</v>
      </c>
      <c r="T32" s="700">
        <f>R32/1000*S$47/S40</f>
        <v>0</v>
      </c>
      <c r="U32" s="347" t="e">
        <f>T32*100/S32</f>
        <v>#DIV/0!</v>
      </c>
      <c r="V32" s="348" t="e">
        <f>100-U32</f>
        <v>#DIV/0!</v>
      </c>
    </row>
    <row r="33" spans="3:29" ht="15" customHeight="1" x14ac:dyDescent="0.2">
      <c r="C33" s="1094"/>
      <c r="D33" s="1103"/>
      <c r="E33" s="1102" t="s">
        <v>438</v>
      </c>
      <c r="F33" s="1103"/>
      <c r="G33" s="1103"/>
      <c r="H33" s="1103"/>
      <c r="I33" s="1089" t="str">
        <f>IF('Plate layout A “LOD_LOQ”'!N9="","",'Plate layout A “LOD_LOQ”'!N9)</f>
        <v/>
      </c>
      <c r="J33" s="1090"/>
      <c r="K33" s="1089" t="str">
        <f>IF('Plate layout A “LOD_LOQ”'!O9="","",'Plate layout A “LOD_LOQ”'!O9)</f>
        <v/>
      </c>
      <c r="L33" s="1090"/>
      <c r="M33" s="1089" t="str">
        <f>IF('Plate layout A “LOD_LOQ”'!P9="","",'Plate layout A “LOD_LOQ”'!P9)</f>
        <v/>
      </c>
      <c r="N33" s="1090"/>
      <c r="O33" s="672" t="str">
        <f>IF('Plate layout A “LOD_LOQ”'!Q9="","",'Plate layout A “LOD_LOQ”'!Q9)</f>
        <v/>
      </c>
      <c r="Q33" s="176">
        <f>Report!K29</f>
        <v>0</v>
      </c>
      <c r="R33" s="346">
        <f>'Plate layout A “LOD_LOQ”'!B25</f>
        <v>0</v>
      </c>
      <c r="S33" s="346">
        <f>'Plate layout A “LOD_LOQ”'!C25</f>
        <v>0</v>
      </c>
      <c r="T33" s="192">
        <f>R33/1000*S$47/S41</f>
        <v>0</v>
      </c>
      <c r="U33" s="347" t="e">
        <f>T33*100/S33</f>
        <v>#DIV/0!</v>
      </c>
      <c r="V33" s="348" t="e">
        <f>100-U33</f>
        <v>#DIV/0!</v>
      </c>
      <c r="AC33" s="146"/>
    </row>
    <row r="34" spans="3:29" ht="15" customHeight="1" x14ac:dyDescent="0.2">
      <c r="C34" s="1094">
        <v>2</v>
      </c>
      <c r="D34" s="1103"/>
      <c r="E34" s="1102" t="s">
        <v>439</v>
      </c>
      <c r="F34" s="1103"/>
      <c r="G34" s="1103"/>
      <c r="H34" s="1103"/>
      <c r="I34" s="1089" t="str">
        <f>IF('Plate layout A “LOD_LOQ”'!N10="","",'Plate layout A “LOD_LOQ”'!N10)</f>
        <v/>
      </c>
      <c r="J34" s="1090"/>
      <c r="K34" s="1089" t="str">
        <f>IF('Plate layout A “LOD_LOQ”'!O10="","",'Plate layout A “LOD_LOQ”'!O10)</f>
        <v/>
      </c>
      <c r="L34" s="1090"/>
      <c r="M34" s="1089" t="str">
        <f>IF('Plate layout A “LOD_LOQ”'!P10="","",'Plate layout A “LOD_LOQ”'!P10)</f>
        <v/>
      </c>
      <c r="N34" s="1090"/>
      <c r="O34" s="1027" t="str">
        <f>IF('Plate layout A “LOD_LOQ”'!Q10="","",'Plate layout A “LOD_LOQ”'!Q10)</f>
        <v/>
      </c>
      <c r="Q34" s="176">
        <f>Report!L29</f>
        <v>0</v>
      </c>
      <c r="R34" s="346">
        <f>'Plate layout A “LOD_LOQ”'!B26</f>
        <v>0</v>
      </c>
      <c r="S34" s="346">
        <f>'Plate layout A “LOD_LOQ”'!C26</f>
        <v>0</v>
      </c>
      <c r="T34" s="192">
        <f>R34/1000*S$47/S42</f>
        <v>0</v>
      </c>
      <c r="U34" s="347" t="e">
        <f>T34*100/S34</f>
        <v>#DIV/0!</v>
      </c>
      <c r="V34" s="348" t="e">
        <f>100-U34</f>
        <v>#DIV/0!</v>
      </c>
      <c r="AC34" s="357"/>
    </row>
    <row r="35" spans="3:29" ht="15" customHeight="1" x14ac:dyDescent="0.2">
      <c r="C35" s="1092">
        <v>3</v>
      </c>
      <c r="D35" s="1046"/>
      <c r="E35" s="1104" t="s">
        <v>568</v>
      </c>
      <c r="F35" s="1105"/>
      <c r="G35" s="1105"/>
      <c r="H35" s="1106"/>
      <c r="I35" s="1092" t="str">
        <f>IF('Plate layout A “LOD_LOQ”'!N11="","",'Plate layout A “LOD_LOQ”'!N11)</f>
        <v/>
      </c>
      <c r="J35" s="1093"/>
      <c r="K35" s="1092" t="str">
        <f>IF('Plate layout A “LOD_LOQ”'!O11="","",'Plate layout A “LOD_LOQ”'!O11)</f>
        <v/>
      </c>
      <c r="L35" s="1093"/>
      <c r="M35" s="1092" t="str">
        <f>IF('Plate layout A “LOD_LOQ”'!P11="","",'Plate layout A “LOD_LOQ”'!P11)</f>
        <v/>
      </c>
      <c r="N35" s="1093"/>
      <c r="O35" s="1176"/>
      <c r="AC35" s="357"/>
    </row>
    <row r="36" spans="3:29" ht="15" customHeight="1" x14ac:dyDescent="0.25">
      <c r="C36" s="1111"/>
      <c r="D36" s="1103"/>
      <c r="E36" s="1107"/>
      <c r="F36" s="1107"/>
      <c r="G36" s="1107"/>
      <c r="H36" s="1108"/>
      <c r="I36" s="1094"/>
      <c r="J36" s="1095"/>
      <c r="K36" s="1094"/>
      <c r="L36" s="1095"/>
      <c r="M36" s="1094"/>
      <c r="N36" s="1095"/>
      <c r="O36" s="1176"/>
      <c r="Q36" s="633" t="s">
        <v>440</v>
      </c>
      <c r="R36" s="104"/>
      <c r="S36" s="104"/>
      <c r="T36" s="104"/>
      <c r="U36" s="104"/>
      <c r="V36" s="104"/>
      <c r="AC36" s="357"/>
    </row>
    <row r="37" spans="3:29" ht="36" thickBot="1" x14ac:dyDescent="0.25">
      <c r="C37" s="1094">
        <v>4</v>
      </c>
      <c r="D37" s="1103"/>
      <c r="E37" s="1102" t="s">
        <v>441</v>
      </c>
      <c r="F37" s="1103"/>
      <c r="G37" s="1103"/>
      <c r="H37" s="1103"/>
      <c r="I37" s="1031" t="str">
        <f>IF('Plate layout A “LOD_LOQ”'!N12="","",'Plate layout A “LOD_LOQ”'!N12)</f>
        <v/>
      </c>
      <c r="J37" s="1091"/>
      <c r="K37" s="1031" t="str">
        <f>IF('Plate layout A “LOD_LOQ”'!O12="","",'Plate layout A “LOD_LOQ”'!O12)</f>
        <v/>
      </c>
      <c r="L37" s="1091"/>
      <c r="M37" s="1031" t="str">
        <f>IF('Plate layout A “LOD_LOQ”'!P12="","",'Plate layout A “LOD_LOQ”'!P12)</f>
        <v/>
      </c>
      <c r="N37" s="1091"/>
      <c r="O37" s="1157"/>
      <c r="Q37" s="523"/>
      <c r="R37" s="794" t="str">
        <f>Report!J25</f>
        <v/>
      </c>
      <c r="S37" s="527"/>
      <c r="T37" s="751" t="s">
        <v>442</v>
      </c>
      <c r="U37" s="529"/>
      <c r="V37" s="529"/>
      <c r="W37" s="632"/>
    </row>
    <row r="38" spans="3:29" ht="43.5" customHeight="1" thickTop="1" thickBot="1" x14ac:dyDescent="0.25">
      <c r="Q38" s="129"/>
      <c r="R38" s="186" t="s">
        <v>443</v>
      </c>
      <c r="S38" s="194" t="s">
        <v>570</v>
      </c>
      <c r="T38" s="460"/>
      <c r="U38" s="479" t="s">
        <v>565</v>
      </c>
      <c r="V38" s="356" t="s">
        <v>444</v>
      </c>
    </row>
    <row r="39" spans="3:29" ht="49.5" customHeight="1" x14ac:dyDescent="0.2">
      <c r="J39" s="716"/>
      <c r="Q39" s="759" t="s">
        <v>640</v>
      </c>
      <c r="R39" s="193">
        <f>Report!$J$26</f>
        <v>0</v>
      </c>
      <c r="S39" s="188">
        <f>S47/2</f>
        <v>0</v>
      </c>
      <c r="T39" s="427">
        <f>S39*T38</f>
        <v>0</v>
      </c>
      <c r="U39" s="733"/>
      <c r="V39" s="1083"/>
      <c r="W39" s="1084"/>
    </row>
    <row r="40" spans="3:29" ht="15" customHeight="1" x14ac:dyDescent="0.2">
      <c r="Q40" s="147" t="s">
        <v>445</v>
      </c>
      <c r="R40" s="386">
        <f>Report!J29</f>
        <v>0</v>
      </c>
      <c r="S40" s="189">
        <f>'Plate layout A “LOD_LOQ”'!C33</f>
        <v>0.25</v>
      </c>
      <c r="T40" s="425">
        <f>S40*T38</f>
        <v>0</v>
      </c>
      <c r="U40" s="743"/>
      <c r="V40" s="187"/>
    </row>
    <row r="41" spans="3:29" ht="15.75" customHeight="1" x14ac:dyDescent="0.2">
      <c r="Q41" s="147" t="s">
        <v>446</v>
      </c>
      <c r="R41" s="386">
        <f>Report!K29</f>
        <v>0</v>
      </c>
      <c r="S41" s="189">
        <f>'Plate layout A “LOD_LOQ”'!C34</f>
        <v>0.25</v>
      </c>
      <c r="T41" s="425">
        <f>S41*T38</f>
        <v>0</v>
      </c>
      <c r="U41" s="743"/>
    </row>
    <row r="42" spans="3:29" ht="15" customHeight="1" x14ac:dyDescent="0.2">
      <c r="Q42" s="147" t="s">
        <v>447</v>
      </c>
      <c r="R42" s="386">
        <f>Report!L29</f>
        <v>0</v>
      </c>
      <c r="S42" s="189">
        <f>'Plate layout A “LOD_LOQ”'!C35</f>
        <v>0.25</v>
      </c>
      <c r="T42" s="425">
        <f>S42*T38</f>
        <v>0</v>
      </c>
      <c r="U42" s="743"/>
    </row>
    <row r="43" spans="3:29" ht="15" customHeight="1" x14ac:dyDescent="0.3">
      <c r="Q43" s="129"/>
      <c r="R43" s="727" t="s">
        <v>448</v>
      </c>
      <c r="S43" s="182">
        <f>(S47-(SUM(S39:S42,S46)))</f>
        <v>-0.75</v>
      </c>
      <c r="T43" s="139">
        <f>T38*S43</f>
        <v>0</v>
      </c>
    </row>
    <row r="44" spans="3:29" ht="15" customHeight="1" x14ac:dyDescent="0.2">
      <c r="Q44" s="129"/>
      <c r="R44" s="149" t="s">
        <v>449</v>
      </c>
      <c r="S44" s="189">
        <f>SUM(S39:S43)</f>
        <v>0</v>
      </c>
      <c r="T44" s="140">
        <f>T39+T40+T41+T42+T43</f>
        <v>0</v>
      </c>
    </row>
    <row r="45" spans="3:29" ht="27" customHeight="1" x14ac:dyDescent="0.2">
      <c r="Q45" s="129"/>
    </row>
    <row r="46" spans="3:29" x14ac:dyDescent="0.2">
      <c r="Q46" s="129"/>
      <c r="R46" s="150" t="s">
        <v>450</v>
      </c>
      <c r="S46" s="141">
        <f>Report!$G$32</f>
        <v>0</v>
      </c>
      <c r="T46" s="144" t="s">
        <v>451</v>
      </c>
      <c r="W46" s="105"/>
      <c r="X46" s="106"/>
      <c r="Y46" s="105"/>
    </row>
    <row r="47" spans="3:29" x14ac:dyDescent="0.2">
      <c r="Q47" s="106"/>
      <c r="R47" s="715" t="s">
        <v>452</v>
      </c>
      <c r="S47" s="190">
        <f>Report!$J$30</f>
        <v>0</v>
      </c>
      <c r="T47" s="144" t="s">
        <v>453</v>
      </c>
    </row>
    <row r="49" spans="17:25" x14ac:dyDescent="0.2">
      <c r="W49" s="104"/>
      <c r="X49" s="104"/>
      <c r="Y49" s="104"/>
    </row>
    <row r="50" spans="17:25" x14ac:dyDescent="0.2">
      <c r="Q50" s="106"/>
      <c r="R50" s="106"/>
      <c r="S50" s="105"/>
      <c r="T50" s="105"/>
      <c r="U50" s="105"/>
      <c r="V50" s="105"/>
      <c r="W50" s="22"/>
      <c r="X50" s="22"/>
      <c r="Y50" s="22"/>
    </row>
    <row r="63" spans="17:25" x14ac:dyDescent="0.2">
      <c r="R63" s="142"/>
      <c r="S63" s="103"/>
      <c r="T63" s="104"/>
    </row>
    <row r="71" ht="29.25" customHeight="1" x14ac:dyDescent="0.2"/>
  </sheetData>
  <sheetProtection password="C5DD" sheet="1" objects="1" scenarios="1" formatCells="0" formatColumns="0" formatRows="0"/>
  <mergeCells count="175">
    <mergeCell ref="U3:U4"/>
    <mergeCell ref="V3:V4"/>
    <mergeCell ref="S3:S4"/>
    <mergeCell ref="T3:T4"/>
    <mergeCell ref="N14:N15"/>
    <mergeCell ref="N16:N17"/>
    <mergeCell ref="O34:O37"/>
    <mergeCell ref="H5:K5"/>
    <mergeCell ref="G6:G8"/>
    <mergeCell ref="H6:H8"/>
    <mergeCell ref="R3:R4"/>
    <mergeCell ref="I6:I8"/>
    <mergeCell ref="J6:J8"/>
    <mergeCell ref="K6:K8"/>
    <mergeCell ref="O6:O8"/>
    <mergeCell ref="M5:N5"/>
    <mergeCell ref="M6:M8"/>
    <mergeCell ref="N6:N8"/>
    <mergeCell ref="N18:N19"/>
    <mergeCell ref="N20:N21"/>
    <mergeCell ref="N22:N23"/>
    <mergeCell ref="L22:L23"/>
    <mergeCell ref="L18:L19"/>
    <mergeCell ref="L20:L21"/>
    <mergeCell ref="R29:S29"/>
    <mergeCell ref="M10:M11"/>
    <mergeCell ref="C12:C13"/>
    <mergeCell ref="D12:D13"/>
    <mergeCell ref="E12:E13"/>
    <mergeCell ref="B10:B11"/>
    <mergeCell ref="D10:D11"/>
    <mergeCell ref="C6:C8"/>
    <mergeCell ref="D6:D8"/>
    <mergeCell ref="E6:E8"/>
    <mergeCell ref="F6:F8"/>
    <mergeCell ref="E10:E11"/>
    <mergeCell ref="F10:F11"/>
    <mergeCell ref="R10:S10"/>
    <mergeCell ref="I12:I13"/>
    <mergeCell ref="J12:J13"/>
    <mergeCell ref="K12:K13"/>
    <mergeCell ref="L10:L11"/>
    <mergeCell ref="L12:L13"/>
    <mergeCell ref="G10:G11"/>
    <mergeCell ref="H10:H11"/>
    <mergeCell ref="I10:I11"/>
    <mergeCell ref="J10:J11"/>
    <mergeCell ref="K10:K11"/>
    <mergeCell ref="T10:T12"/>
    <mergeCell ref="V13:V14"/>
    <mergeCell ref="R15:R16"/>
    <mergeCell ref="S15:S16"/>
    <mergeCell ref="T15:T16"/>
    <mergeCell ref="U15:U16"/>
    <mergeCell ref="U13:U14"/>
    <mergeCell ref="R13:R14"/>
    <mergeCell ref="S13:S14"/>
    <mergeCell ref="T13:T14"/>
    <mergeCell ref="V30:V31"/>
    <mergeCell ref="U30:U31"/>
    <mergeCell ref="T30:T31"/>
    <mergeCell ref="O30:O31"/>
    <mergeCell ref="C32:D32"/>
    <mergeCell ref="E32:H32"/>
    <mergeCell ref="I32:J32"/>
    <mergeCell ref="K32:L32"/>
    <mergeCell ref="M32:N32"/>
    <mergeCell ref="M30:N31"/>
    <mergeCell ref="C30:D31"/>
    <mergeCell ref="E30:H31"/>
    <mergeCell ref="I30:J31"/>
    <mergeCell ref="K30:L31"/>
    <mergeCell ref="S30:S31"/>
    <mergeCell ref="R30:R31"/>
    <mergeCell ref="B16:B17"/>
    <mergeCell ref="H14:H15"/>
    <mergeCell ref="I14:I15"/>
    <mergeCell ref="J14:J15"/>
    <mergeCell ref="K14:K15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C14:C15"/>
    <mergeCell ref="D14:D15"/>
    <mergeCell ref="E14:E15"/>
    <mergeCell ref="F14:F15"/>
    <mergeCell ref="G14:G15"/>
    <mergeCell ref="N10:N11"/>
    <mergeCell ref="A16:A17"/>
    <mergeCell ref="A10:A15"/>
    <mergeCell ref="M12:M13"/>
    <mergeCell ref="M14:M15"/>
    <mergeCell ref="M16:M17"/>
    <mergeCell ref="M18:M19"/>
    <mergeCell ref="M20:M21"/>
    <mergeCell ref="M22:M23"/>
    <mergeCell ref="A18:A23"/>
    <mergeCell ref="K18:K19"/>
    <mergeCell ref="C20:C21"/>
    <mergeCell ref="D20:D21"/>
    <mergeCell ref="E20:E21"/>
    <mergeCell ref="L14:L15"/>
    <mergeCell ref="L16:L17"/>
    <mergeCell ref="B12:B13"/>
    <mergeCell ref="B14:B15"/>
    <mergeCell ref="B18:B19"/>
    <mergeCell ref="B20:B21"/>
    <mergeCell ref="B22:B23"/>
    <mergeCell ref="C18:C19"/>
    <mergeCell ref="D18:D19"/>
    <mergeCell ref="E18:E19"/>
    <mergeCell ref="E33:H33"/>
    <mergeCell ref="E34:H34"/>
    <mergeCell ref="E37:H37"/>
    <mergeCell ref="E35:H36"/>
    <mergeCell ref="C2:D2"/>
    <mergeCell ref="C34:D34"/>
    <mergeCell ref="C37:D37"/>
    <mergeCell ref="C35:D36"/>
    <mergeCell ref="F12:F13"/>
    <mergeCell ref="G12:G13"/>
    <mergeCell ref="H12:H13"/>
    <mergeCell ref="C33:D33"/>
    <mergeCell ref="C27:E27"/>
    <mergeCell ref="C10:C11"/>
    <mergeCell ref="C5:G5"/>
    <mergeCell ref="O18:O19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F20:F21"/>
    <mergeCell ref="G20:G21"/>
    <mergeCell ref="H20:H21"/>
    <mergeCell ref="I20:I21"/>
    <mergeCell ref="J20:J21"/>
    <mergeCell ref="F18:F19"/>
    <mergeCell ref="G18:G19"/>
    <mergeCell ref="H18:H19"/>
    <mergeCell ref="N12:N13"/>
    <mergeCell ref="I18:I19"/>
    <mergeCell ref="L6:L8"/>
    <mergeCell ref="V39:W39"/>
    <mergeCell ref="V15:W16"/>
    <mergeCell ref="M33:N33"/>
    <mergeCell ref="M34:N34"/>
    <mergeCell ref="M37:N37"/>
    <mergeCell ref="I35:J36"/>
    <mergeCell ref="K35:L36"/>
    <mergeCell ref="M35:N36"/>
    <mergeCell ref="I33:J33"/>
    <mergeCell ref="I34:J34"/>
    <mergeCell ref="I37:J37"/>
    <mergeCell ref="K33:L33"/>
    <mergeCell ref="K34:L34"/>
    <mergeCell ref="K37:L37"/>
    <mergeCell ref="O20:O21"/>
    <mergeCell ref="O22:O23"/>
    <mergeCell ref="J18:J19"/>
    <mergeCell ref="O10:O11"/>
    <mergeCell ref="O12:O13"/>
    <mergeCell ref="O14:O15"/>
    <mergeCell ref="O16:O1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&amp;L&amp;A&amp;C&amp;U&amp;F&amp;R&amp;D</oddHeader>
    <oddFooter>&amp;LVersion of 19/05/2016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G71"/>
  <sheetViews>
    <sheetView zoomScale="85" zoomScaleNormal="85" zoomScaleSheetLayoutView="85" zoomScalePageLayoutView="70" workbookViewId="0">
      <selection activeCell="J3" sqref="J3"/>
    </sheetView>
  </sheetViews>
  <sheetFormatPr baseColWidth="10" defaultRowHeight="12.75" x14ac:dyDescent="0.2"/>
  <cols>
    <col min="1" max="1" width="10.28515625" style="61" customWidth="1"/>
    <col min="2" max="2" width="4.42578125" style="61" customWidth="1"/>
    <col min="3" max="3" width="7.7109375" style="61" customWidth="1"/>
    <col min="4" max="14" width="6.7109375" style="61" customWidth="1"/>
    <col min="15" max="15" width="11.42578125" style="61"/>
    <col min="16" max="16" width="4.28515625" style="61" customWidth="1"/>
    <col min="17" max="17" width="11.42578125" style="61" customWidth="1"/>
    <col min="18" max="18" width="19.42578125" style="61" customWidth="1"/>
    <col min="19" max="19" width="12.5703125" style="61" customWidth="1"/>
    <col min="20" max="20" width="14.5703125" style="61" customWidth="1"/>
    <col min="21" max="21" width="12.85546875" style="61" customWidth="1"/>
    <col min="22" max="22" width="10.7109375" style="61" customWidth="1"/>
    <col min="23" max="23" width="9.7109375" style="61" customWidth="1"/>
    <col min="24" max="24" width="18.7109375" style="61" customWidth="1"/>
    <col min="25" max="25" width="13.140625" style="61" customWidth="1"/>
    <col min="26" max="26" width="10.5703125" style="61" customWidth="1"/>
    <col min="27" max="27" width="12" style="61" customWidth="1"/>
    <col min="28" max="28" width="10.85546875" style="61" customWidth="1"/>
    <col min="29" max="29" width="9.5703125" style="61" customWidth="1"/>
    <col min="30" max="31" width="6.7109375" style="61" customWidth="1"/>
    <col min="32" max="33" width="5.7109375" style="61" customWidth="1"/>
    <col min="34" max="16384" width="11.42578125" style="61"/>
  </cols>
  <sheetData>
    <row r="1" spans="1:33" ht="12" customHeight="1" x14ac:dyDescent="0.2">
      <c r="A1" s="15" t="s">
        <v>454</v>
      </c>
      <c r="B1" s="15"/>
      <c r="C1" s="1224" t="str">
        <f>IF(Report!K5="","",Report!K5)</f>
        <v/>
      </c>
      <c r="D1" s="15"/>
      <c r="E1" s="15"/>
      <c r="F1" s="15"/>
      <c r="G1" s="15"/>
      <c r="H1" s="15"/>
      <c r="I1" s="15"/>
      <c r="K1" s="198"/>
      <c r="L1" s="198"/>
      <c r="M1" s="198"/>
      <c r="N1" s="198"/>
      <c r="O1" s="198"/>
      <c r="Q1" s="148" t="s">
        <v>455</v>
      </c>
      <c r="R1" s="104"/>
      <c r="S1" s="104"/>
      <c r="T1" s="104"/>
      <c r="U1" s="104"/>
      <c r="V1" s="104"/>
    </row>
    <row r="2" spans="1:33" ht="12" customHeight="1" x14ac:dyDescent="0.25">
      <c r="A2" s="543" t="s">
        <v>456</v>
      </c>
      <c r="B2" s="543"/>
      <c r="C2" s="1109"/>
      <c r="D2" s="1110"/>
      <c r="E2" s="543"/>
      <c r="F2" s="543"/>
      <c r="G2" s="543"/>
      <c r="H2" s="543"/>
      <c r="I2" s="543"/>
      <c r="K2" s="521"/>
      <c r="L2" s="521"/>
      <c r="M2" s="521"/>
      <c r="N2" s="521"/>
      <c r="O2" s="521"/>
      <c r="Q2" s="792" t="s">
        <v>642</v>
      </c>
      <c r="R2" s="793" t="str">
        <f>R10</f>
        <v/>
      </c>
      <c r="S2" s="522"/>
      <c r="T2" s="522"/>
      <c r="U2" s="522"/>
      <c r="V2" s="522"/>
      <c r="W2" s="522"/>
    </row>
    <row r="3" spans="1:33" ht="18" customHeight="1" x14ac:dyDescent="0.25">
      <c r="A3" s="633" t="s">
        <v>457</v>
      </c>
      <c r="B3" s="633"/>
      <c r="C3" s="633"/>
      <c r="D3" s="633"/>
      <c r="E3" s="633"/>
      <c r="F3" s="633"/>
      <c r="G3" s="633"/>
      <c r="H3" s="633"/>
      <c r="I3" s="633"/>
      <c r="J3" s="634"/>
      <c r="K3" s="634"/>
      <c r="L3" s="191"/>
      <c r="M3" s="191"/>
      <c r="N3" s="191"/>
      <c r="O3" s="191"/>
      <c r="Q3" s="124"/>
      <c r="R3" s="1072" t="s">
        <v>458</v>
      </c>
      <c r="S3" s="1074" t="s">
        <v>562</v>
      </c>
      <c r="T3" s="1074" t="s">
        <v>569</v>
      </c>
      <c r="U3" s="1075" t="s">
        <v>459</v>
      </c>
      <c r="V3" s="1077" t="s">
        <v>460</v>
      </c>
    </row>
    <row r="4" spans="1:33" ht="18.75" customHeight="1" x14ac:dyDescent="0.2">
      <c r="A4" s="148"/>
      <c r="B4" s="148"/>
      <c r="C4" s="148"/>
      <c r="D4" s="148"/>
      <c r="E4" s="148"/>
      <c r="F4" s="148"/>
      <c r="G4" s="148"/>
      <c r="H4" s="148"/>
      <c r="I4" s="148"/>
      <c r="J4" s="191"/>
      <c r="K4" s="191"/>
      <c r="L4" s="191"/>
      <c r="M4" s="191"/>
      <c r="N4" s="191"/>
      <c r="O4" s="191"/>
      <c r="R4" s="1215"/>
      <c r="S4" s="1216"/>
      <c r="T4" s="1215"/>
      <c r="U4" s="1076"/>
      <c r="V4" s="1076"/>
    </row>
    <row r="5" spans="1:33" ht="15" customHeight="1" x14ac:dyDescent="0.2">
      <c r="A5" s="148"/>
      <c r="B5" s="148"/>
      <c r="C5" s="1117" t="s">
        <v>461</v>
      </c>
      <c r="D5" s="1118"/>
      <c r="E5" s="1118"/>
      <c r="F5" s="1118"/>
      <c r="G5" s="1118"/>
      <c r="H5" s="1117" t="s">
        <v>462</v>
      </c>
      <c r="I5" s="1118"/>
      <c r="J5" s="1118"/>
      <c r="K5" s="1118"/>
      <c r="L5" s="1211" t="s">
        <v>463</v>
      </c>
      <c r="M5" s="1211"/>
      <c r="N5" s="1211"/>
      <c r="O5" s="1211"/>
      <c r="Q5" s="176">
        <f>Report!C29</f>
        <v>0</v>
      </c>
      <c r="R5" s="346">
        <f>'Plate layout B “Trueness”'!R5</f>
        <v>0</v>
      </c>
      <c r="S5" s="346">
        <f>'Plate layout B “Trueness”'!S5</f>
        <v>0</v>
      </c>
      <c r="T5" s="192">
        <f>R5/1000*S$24/S17</f>
        <v>0</v>
      </c>
      <c r="U5" s="347" t="e">
        <f>T5*100/S5</f>
        <v>#DIV/0!</v>
      </c>
      <c r="V5" s="348" t="e">
        <f>100-U5</f>
        <v>#DIV/0!</v>
      </c>
    </row>
    <row r="6" spans="1:33" ht="15" customHeight="1" x14ac:dyDescent="0.2">
      <c r="C6" s="1170" t="s">
        <v>464</v>
      </c>
      <c r="D6" s="1170" t="s">
        <v>465</v>
      </c>
      <c r="E6" s="1170" t="s">
        <v>466</v>
      </c>
      <c r="F6" s="1170" t="s">
        <v>467</v>
      </c>
      <c r="G6" s="1170" t="s">
        <v>468</v>
      </c>
      <c r="H6" s="1081" t="s">
        <v>469</v>
      </c>
      <c r="I6" s="1081" t="s">
        <v>470</v>
      </c>
      <c r="J6" s="1081" t="s">
        <v>471</v>
      </c>
      <c r="K6" s="1081" t="s">
        <v>472</v>
      </c>
      <c r="L6" s="1202"/>
      <c r="M6" s="1203"/>
      <c r="N6" s="1204"/>
      <c r="O6" s="1212"/>
      <c r="Q6" s="176">
        <f>Report!D29</f>
        <v>0</v>
      </c>
      <c r="R6" s="346">
        <f>'Plate layout B “Trueness”'!R6</f>
        <v>0</v>
      </c>
      <c r="S6" s="346">
        <f>'Plate layout B “Trueness”'!S6</f>
        <v>0</v>
      </c>
      <c r="T6" s="192">
        <f>R6/1000*S$24/S18</f>
        <v>0</v>
      </c>
      <c r="U6" s="347" t="e">
        <f>T6*100/S6</f>
        <v>#DIV/0!</v>
      </c>
      <c r="V6" s="348" t="e">
        <f>100-U6</f>
        <v>#DIV/0!</v>
      </c>
      <c r="AD6" s="121"/>
      <c r="AE6" s="121"/>
      <c r="AF6" s="121"/>
      <c r="AG6" s="121"/>
    </row>
    <row r="7" spans="1:33" ht="15" customHeight="1" x14ac:dyDescent="0.2">
      <c r="C7" s="1171"/>
      <c r="D7" s="1171"/>
      <c r="E7" s="1171"/>
      <c r="F7" s="1171"/>
      <c r="G7" s="1171"/>
      <c r="H7" s="1082"/>
      <c r="I7" s="1082"/>
      <c r="J7" s="1082"/>
      <c r="K7" s="1082"/>
      <c r="L7" s="1205"/>
      <c r="M7" s="1206"/>
      <c r="N7" s="1207"/>
      <c r="O7" s="1213"/>
      <c r="Q7" s="176">
        <f>Report!E29</f>
        <v>0</v>
      </c>
      <c r="R7" s="346">
        <f>'Plate layout B “Trueness”'!R7</f>
        <v>0</v>
      </c>
      <c r="S7" s="346">
        <f>'Plate layout B “Trueness”'!S7</f>
        <v>0</v>
      </c>
      <c r="T7" s="192">
        <f>R7/1000*S$24/S19</f>
        <v>0</v>
      </c>
      <c r="U7" s="347" t="e">
        <f>T7*100/S7</f>
        <v>#DIV/0!</v>
      </c>
      <c r="V7" s="348" t="e">
        <f>100-U7</f>
        <v>#DIV/0!</v>
      </c>
      <c r="AD7" s="122"/>
      <c r="AE7" s="122"/>
      <c r="AF7" s="122"/>
      <c r="AG7" s="122"/>
    </row>
    <row r="8" spans="1:33" ht="32.25" customHeight="1" x14ac:dyDescent="0.2">
      <c r="C8" s="1171"/>
      <c r="D8" s="1171"/>
      <c r="E8" s="1171"/>
      <c r="F8" s="1171"/>
      <c r="G8" s="1171"/>
      <c r="H8" s="1082"/>
      <c r="I8" s="1082"/>
      <c r="J8" s="1082"/>
      <c r="K8" s="1082"/>
      <c r="L8" s="1208"/>
      <c r="M8" s="1209"/>
      <c r="N8" s="1210"/>
      <c r="O8" s="1214"/>
      <c r="Q8" s="128"/>
      <c r="R8" s="70"/>
      <c r="S8" s="70"/>
      <c r="U8" s="129"/>
      <c r="V8" s="129"/>
      <c r="AD8" s="105"/>
      <c r="AE8" s="105"/>
      <c r="AF8" s="105"/>
      <c r="AG8" s="105"/>
    </row>
    <row r="9" spans="1:33" ht="15" customHeight="1" thickBot="1" x14ac:dyDescent="0.3">
      <c r="C9" s="524">
        <v>1</v>
      </c>
      <c r="D9" s="524">
        <v>2</v>
      </c>
      <c r="E9" s="524">
        <v>3</v>
      </c>
      <c r="F9" s="524">
        <v>4</v>
      </c>
      <c r="G9" s="524">
        <v>5</v>
      </c>
      <c r="H9" s="524">
        <v>6</v>
      </c>
      <c r="I9" s="524">
        <v>7</v>
      </c>
      <c r="J9" s="524">
        <v>8</v>
      </c>
      <c r="K9" s="524">
        <v>9</v>
      </c>
      <c r="L9" s="524">
        <v>10</v>
      </c>
      <c r="M9" s="524">
        <v>11</v>
      </c>
      <c r="N9" s="524">
        <v>12</v>
      </c>
      <c r="O9" s="525"/>
      <c r="Q9" s="633" t="s">
        <v>473</v>
      </c>
      <c r="R9" s="104"/>
      <c r="S9" s="104"/>
      <c r="T9" s="104"/>
      <c r="U9" s="104"/>
      <c r="V9" s="104"/>
      <c r="AD9" s="105"/>
      <c r="AE9" s="105"/>
      <c r="AF9" s="105"/>
      <c r="AG9" s="105"/>
    </row>
    <row r="10" spans="1:33" ht="15.75" customHeight="1" thickTop="1" x14ac:dyDescent="0.2">
      <c r="A10" s="1192" t="s">
        <v>474</v>
      </c>
      <c r="B10" s="1131" t="s">
        <v>475</v>
      </c>
      <c r="C10" s="1116"/>
      <c r="D10" s="1116"/>
      <c r="E10" s="1116"/>
      <c r="F10" s="1116"/>
      <c r="G10" s="1116"/>
      <c r="H10" s="1116"/>
      <c r="I10" s="1116"/>
      <c r="J10" s="1116"/>
      <c r="K10" s="1116"/>
      <c r="L10" s="1184"/>
      <c r="M10" s="1200"/>
      <c r="N10" s="1200"/>
      <c r="O10" s="1201" t="str">
        <f>IF(Report!K47="","",Report!K47)</f>
        <v/>
      </c>
      <c r="Q10" s="522"/>
      <c r="R10" s="1172" t="str">
        <f>Report!C25</f>
        <v/>
      </c>
      <c r="S10" s="1172"/>
      <c r="T10" s="1195" t="s">
        <v>476</v>
      </c>
      <c r="U10" s="531"/>
      <c r="V10" s="531"/>
      <c r="W10" s="522"/>
      <c r="AD10" s="123"/>
      <c r="AE10" s="106"/>
      <c r="AF10" s="106"/>
      <c r="AG10" s="106"/>
    </row>
    <row r="11" spans="1:33" ht="12.75" customHeight="1" x14ac:dyDescent="0.2">
      <c r="A11" s="1193"/>
      <c r="B11" s="1132"/>
      <c r="C11" s="1113"/>
      <c r="D11" s="1113"/>
      <c r="E11" s="1113"/>
      <c r="F11" s="1113"/>
      <c r="G11" s="1113"/>
      <c r="H11" s="1113"/>
      <c r="I11" s="1113"/>
      <c r="J11" s="1113"/>
      <c r="K11" s="1113"/>
      <c r="L11" s="1185"/>
      <c r="M11" s="1188"/>
      <c r="N11" s="1188"/>
      <c r="O11" s="1183"/>
      <c r="Q11" s="522"/>
      <c r="R11" s="530"/>
      <c r="S11" s="530"/>
      <c r="T11" s="1196"/>
      <c r="U11" s="531"/>
      <c r="V11" s="531"/>
      <c r="W11" s="522"/>
      <c r="AD11" s="123"/>
      <c r="AE11" s="106"/>
      <c r="AF11" s="106"/>
      <c r="AG11" s="106"/>
    </row>
    <row r="12" spans="1:33" ht="17.25" customHeight="1" thickBot="1" x14ac:dyDescent="0.25">
      <c r="A12" s="1193"/>
      <c r="B12" s="1131" t="s">
        <v>477</v>
      </c>
      <c r="C12" s="1112"/>
      <c r="D12" s="1112"/>
      <c r="E12" s="1112"/>
      <c r="F12" s="1112"/>
      <c r="G12" s="1112"/>
      <c r="H12" s="1112"/>
      <c r="I12" s="1112"/>
      <c r="J12" s="1112"/>
      <c r="K12" s="1112"/>
      <c r="L12" s="1186"/>
      <c r="M12" s="1187"/>
      <c r="N12" s="1187"/>
      <c r="O12" s="1182" t="str">
        <f>IF(Report!K48="","",Report!K48)</f>
        <v/>
      </c>
      <c r="Q12" s="522"/>
      <c r="R12" s="530"/>
      <c r="S12" s="530"/>
      <c r="T12" s="1197"/>
      <c r="U12" s="531"/>
      <c r="V12" s="531"/>
      <c r="W12" s="522"/>
      <c r="AD12" s="123"/>
      <c r="AE12" s="106"/>
      <c r="AF12" s="106"/>
      <c r="AG12" s="106"/>
    </row>
    <row r="13" spans="1:33" ht="19.5" customHeight="1" thickTop="1" x14ac:dyDescent="0.2">
      <c r="A13" s="1194"/>
      <c r="B13" s="1132"/>
      <c r="C13" s="1113"/>
      <c r="D13" s="1113"/>
      <c r="E13" s="1113"/>
      <c r="F13" s="1113"/>
      <c r="G13" s="1113"/>
      <c r="H13" s="1113"/>
      <c r="I13" s="1113"/>
      <c r="J13" s="1113"/>
      <c r="K13" s="1113"/>
      <c r="L13" s="1185"/>
      <c r="M13" s="1188"/>
      <c r="N13" s="1188"/>
      <c r="O13" s="1183"/>
      <c r="R13" s="1162" t="s">
        <v>478</v>
      </c>
      <c r="S13" s="1164" t="s">
        <v>570</v>
      </c>
      <c r="T13" s="1218"/>
      <c r="U13" s="1160" t="s">
        <v>565</v>
      </c>
      <c r="V13" s="1152" t="s">
        <v>479</v>
      </c>
    </row>
    <row r="14" spans="1:33" ht="17.25" customHeight="1" thickBot="1" x14ac:dyDescent="0.25">
      <c r="A14" s="1194"/>
      <c r="B14" s="1131" t="s">
        <v>480</v>
      </c>
      <c r="C14" s="1112"/>
      <c r="D14" s="1112"/>
      <c r="E14" s="1112"/>
      <c r="F14" s="1112"/>
      <c r="G14" s="1112"/>
      <c r="H14" s="1112"/>
      <c r="I14" s="1112"/>
      <c r="J14" s="1112"/>
      <c r="K14" s="1112"/>
      <c r="L14" s="1186"/>
      <c r="M14" s="1187"/>
      <c r="N14" s="1187"/>
      <c r="O14" s="1182" t="str">
        <f>IF(Report!K49="","",Report!K49)</f>
        <v/>
      </c>
      <c r="R14" s="1163"/>
      <c r="S14" s="1165"/>
      <c r="T14" s="1167"/>
      <c r="U14" s="1161"/>
      <c r="V14" s="1151"/>
    </row>
    <row r="15" spans="1:33" ht="21" customHeight="1" thickTop="1" x14ac:dyDescent="0.2">
      <c r="A15" s="1194"/>
      <c r="B15" s="1132"/>
      <c r="C15" s="1113"/>
      <c r="D15" s="1113"/>
      <c r="E15" s="1113"/>
      <c r="F15" s="1113"/>
      <c r="G15" s="1113"/>
      <c r="H15" s="1113"/>
      <c r="I15" s="1113"/>
      <c r="J15" s="1113"/>
      <c r="K15" s="1113"/>
      <c r="L15" s="1185"/>
      <c r="M15" s="1188"/>
      <c r="N15" s="1188"/>
      <c r="O15" s="1183"/>
      <c r="R15" s="1153">
        <f>Report!C26</f>
        <v>0</v>
      </c>
      <c r="S15" s="1153">
        <f>S24/2</f>
        <v>0</v>
      </c>
      <c r="T15" s="1156">
        <f>S15*T$13</f>
        <v>0</v>
      </c>
      <c r="U15" s="1158"/>
      <c r="V15" s="1085"/>
      <c r="W15" s="1086"/>
    </row>
    <row r="16" spans="1:33" ht="25.5" customHeight="1" x14ac:dyDescent="0.2">
      <c r="A16" s="1121"/>
      <c r="B16" s="1135" t="s">
        <v>481</v>
      </c>
      <c r="C16" s="1137" t="s">
        <v>482</v>
      </c>
      <c r="D16" s="1137" t="s">
        <v>483</v>
      </c>
      <c r="E16" s="1137" t="s">
        <v>484</v>
      </c>
      <c r="F16" s="1137" t="s">
        <v>485</v>
      </c>
      <c r="G16" s="1137" t="s">
        <v>486</v>
      </c>
      <c r="H16" s="1112"/>
      <c r="I16" s="1112"/>
      <c r="J16" s="1112"/>
      <c r="K16" s="1112"/>
      <c r="L16" s="1186"/>
      <c r="M16" s="1187"/>
      <c r="N16" s="1187"/>
      <c r="O16" s="1182" t="str">
        <f>IF(Report!K50="","",Report!K50)</f>
        <v/>
      </c>
      <c r="Q16" s="759" t="s">
        <v>639</v>
      </c>
      <c r="R16" s="1154"/>
      <c r="S16" s="1155"/>
      <c r="T16" s="1157"/>
      <c r="U16" s="1198"/>
      <c r="V16" s="1087"/>
      <c r="W16" s="1088"/>
    </row>
    <row r="17" spans="1:32" ht="15.75" customHeight="1" x14ac:dyDescent="0.2">
      <c r="A17" s="972"/>
      <c r="B17" s="1136"/>
      <c r="C17" s="1138"/>
      <c r="D17" s="1138"/>
      <c r="E17" s="1138"/>
      <c r="F17" s="1138"/>
      <c r="G17" s="1138"/>
      <c r="H17" s="1113"/>
      <c r="I17" s="1113"/>
      <c r="J17" s="1113"/>
      <c r="K17" s="1113"/>
      <c r="L17" s="1185"/>
      <c r="M17" s="1188"/>
      <c r="N17" s="1188"/>
      <c r="O17" s="1183"/>
      <c r="Q17" s="147" t="s">
        <v>487</v>
      </c>
      <c r="R17" s="152">
        <f>Report!C29</f>
        <v>0</v>
      </c>
      <c r="S17" s="189">
        <f>'Plate layout B “Trueness”'!S17</f>
        <v>0.25</v>
      </c>
      <c r="T17" s="425">
        <f>S17*T$13</f>
        <v>0</v>
      </c>
      <c r="U17" s="743"/>
      <c r="V17" s="187"/>
    </row>
    <row r="18" spans="1:32" ht="15" customHeight="1" x14ac:dyDescent="0.2">
      <c r="A18" s="1128" t="s">
        <v>488</v>
      </c>
      <c r="B18" s="1133" t="s">
        <v>489</v>
      </c>
      <c r="C18" s="1080"/>
      <c r="D18" s="1080"/>
      <c r="E18" s="1080"/>
      <c r="F18" s="1080"/>
      <c r="G18" s="1080"/>
      <c r="H18" s="1080"/>
      <c r="I18" s="1080"/>
      <c r="J18" s="1080"/>
      <c r="K18" s="1080"/>
      <c r="L18" s="1186"/>
      <c r="M18" s="1187"/>
      <c r="N18" s="1187"/>
      <c r="O18" s="1182" t="str">
        <f>IF(Report!K51="","",Report!K51)</f>
        <v/>
      </c>
      <c r="Q18" s="147" t="s">
        <v>490</v>
      </c>
      <c r="R18" s="152">
        <f>Report!D29</f>
        <v>0</v>
      </c>
      <c r="S18" s="189">
        <f>'Plate layout B “Trueness”'!S18</f>
        <v>0.25</v>
      </c>
      <c r="T18" s="425">
        <f>S18*T$13</f>
        <v>0</v>
      </c>
      <c r="U18" s="743"/>
    </row>
    <row r="19" spans="1:32" ht="15" customHeight="1" x14ac:dyDescent="0.2">
      <c r="A19" s="972"/>
      <c r="B19" s="1133"/>
      <c r="C19" s="1079"/>
      <c r="D19" s="1079"/>
      <c r="E19" s="1079"/>
      <c r="F19" s="1079"/>
      <c r="G19" s="1079"/>
      <c r="H19" s="1079"/>
      <c r="I19" s="1079"/>
      <c r="J19" s="1079"/>
      <c r="K19" s="1079"/>
      <c r="L19" s="1185"/>
      <c r="M19" s="1188"/>
      <c r="N19" s="1188"/>
      <c r="O19" s="1183"/>
      <c r="Q19" s="147" t="s">
        <v>491</v>
      </c>
      <c r="R19" s="152">
        <f>Report!E29</f>
        <v>0</v>
      </c>
      <c r="S19" s="189">
        <f>'Plate layout B “Trueness”'!S19</f>
        <v>0.25</v>
      </c>
      <c r="T19" s="425">
        <f>S19*T$13</f>
        <v>0</v>
      </c>
      <c r="U19" s="743"/>
    </row>
    <row r="20" spans="1:32" ht="15" customHeight="1" x14ac:dyDescent="0.3">
      <c r="A20" s="972"/>
      <c r="B20" s="1133" t="s">
        <v>492</v>
      </c>
      <c r="C20" s="1080"/>
      <c r="D20" s="1080"/>
      <c r="E20" s="1080"/>
      <c r="F20" s="1080"/>
      <c r="G20" s="1080"/>
      <c r="H20" s="1080"/>
      <c r="I20" s="1080"/>
      <c r="J20" s="1080"/>
      <c r="K20" s="1080"/>
      <c r="L20" s="1186"/>
      <c r="M20" s="1187"/>
      <c r="N20" s="1187"/>
      <c r="O20" s="1182" t="str">
        <f>IF(Report!K52="","",Report!K52)</f>
        <v/>
      </c>
      <c r="Q20" s="129"/>
      <c r="R20" s="727" t="s">
        <v>493</v>
      </c>
      <c r="S20" s="182">
        <f>(S24-(SUM(S15:S19,S23)))</f>
        <v>-0.75</v>
      </c>
      <c r="T20" s="139">
        <f>S20*T$13</f>
        <v>0</v>
      </c>
      <c r="AF20" s="70"/>
    </row>
    <row r="21" spans="1:32" ht="15" customHeight="1" x14ac:dyDescent="0.2">
      <c r="A21" s="972"/>
      <c r="B21" s="1133" t="s">
        <v>494</v>
      </c>
      <c r="C21" s="1079"/>
      <c r="D21" s="1079"/>
      <c r="E21" s="1079"/>
      <c r="F21" s="1079"/>
      <c r="G21" s="1079"/>
      <c r="H21" s="1079"/>
      <c r="I21" s="1079"/>
      <c r="J21" s="1079"/>
      <c r="K21" s="1079"/>
      <c r="L21" s="1185"/>
      <c r="M21" s="1188"/>
      <c r="N21" s="1188"/>
      <c r="O21" s="1183"/>
      <c r="Q21" s="129"/>
      <c r="R21" s="149" t="s">
        <v>495</v>
      </c>
      <c r="S21" s="189">
        <f>SUM(S15:S20)</f>
        <v>0</v>
      </c>
      <c r="T21" s="140">
        <f>SUM(T15:T20)</f>
        <v>0</v>
      </c>
      <c r="AF21" s="121"/>
    </row>
    <row r="22" spans="1:32" ht="12" customHeight="1" x14ac:dyDescent="0.2">
      <c r="A22" s="972"/>
      <c r="B22" s="1133" t="s">
        <v>496</v>
      </c>
      <c r="C22" s="1080"/>
      <c r="D22" s="1080"/>
      <c r="E22" s="1080"/>
      <c r="F22" s="1080"/>
      <c r="G22" s="1080"/>
      <c r="H22" s="1100"/>
      <c r="I22" s="1100"/>
      <c r="J22" s="1100"/>
      <c r="K22" s="1100"/>
      <c r="L22" s="1186"/>
      <c r="M22" s="1187"/>
      <c r="N22" s="1187"/>
      <c r="O22" s="1182" t="str">
        <f>IF(Report!K53="","",Report!K53)</f>
        <v/>
      </c>
      <c r="Q22" s="129"/>
      <c r="R22" s="7"/>
      <c r="S22" s="123"/>
      <c r="T22" s="123"/>
      <c r="AF22" s="121"/>
    </row>
    <row r="23" spans="1:32" ht="15" customHeight="1" thickBot="1" x14ac:dyDescent="0.25">
      <c r="A23" s="972"/>
      <c r="B23" s="1134" t="s">
        <v>497</v>
      </c>
      <c r="C23" s="1079"/>
      <c r="D23" s="1079"/>
      <c r="E23" s="1079"/>
      <c r="F23" s="1079"/>
      <c r="G23" s="1079"/>
      <c r="H23" s="1101"/>
      <c r="I23" s="1101"/>
      <c r="J23" s="1101"/>
      <c r="K23" s="1101"/>
      <c r="L23" s="1191"/>
      <c r="M23" s="1189"/>
      <c r="N23" s="1189"/>
      <c r="O23" s="1190"/>
      <c r="Q23" s="129"/>
      <c r="R23" s="150" t="s">
        <v>498</v>
      </c>
      <c r="S23" s="141">
        <f>Report!$G$32</f>
        <v>0</v>
      </c>
      <c r="T23" s="144" t="s">
        <v>499</v>
      </c>
      <c r="X23" s="104"/>
      <c r="Y23" s="104"/>
      <c r="Z23" s="104"/>
      <c r="AA23" s="104"/>
      <c r="AB23" s="104"/>
    </row>
    <row r="24" spans="1:32" ht="37.5" customHeight="1" thickTop="1" thickBot="1" x14ac:dyDescent="0.25">
      <c r="A24" s="625"/>
      <c r="B24" s="631" t="s">
        <v>500</v>
      </c>
      <c r="C24" s="724" t="s">
        <v>501</v>
      </c>
      <c r="D24" s="724" t="s">
        <v>502</v>
      </c>
      <c r="E24" s="724" t="s">
        <v>503</v>
      </c>
      <c r="F24" s="724" t="s">
        <v>504</v>
      </c>
      <c r="G24" s="724" t="s">
        <v>505</v>
      </c>
      <c r="H24" s="737"/>
      <c r="I24" s="737"/>
      <c r="J24" s="737"/>
      <c r="K24" s="737"/>
      <c r="L24" s="738" t="s">
        <v>506</v>
      </c>
      <c r="M24" s="725" t="s">
        <v>507</v>
      </c>
      <c r="N24" s="726" t="s">
        <v>508</v>
      </c>
      <c r="O24" s="735"/>
      <c r="Q24" s="129"/>
      <c r="R24" s="526" t="s">
        <v>509</v>
      </c>
      <c r="S24" s="563">
        <f>Report!C30</f>
        <v>0</v>
      </c>
      <c r="T24" s="562" t="s">
        <v>510</v>
      </c>
    </row>
    <row r="25" spans="1:32" ht="15" customHeight="1" x14ac:dyDescent="0.2">
      <c r="A25" s="626"/>
      <c r="B25" s="627"/>
      <c r="C25" s="628"/>
      <c r="D25" s="628"/>
      <c r="E25" s="628"/>
      <c r="F25" s="628"/>
      <c r="G25" s="628"/>
      <c r="H25" s="628"/>
      <c r="I25" s="628"/>
      <c r="J25" s="628"/>
      <c r="K25" s="628"/>
      <c r="L25" s="629"/>
      <c r="M25" s="627"/>
      <c r="N25" s="627"/>
      <c r="O25" s="32"/>
      <c r="R25" s="561"/>
      <c r="S25" s="561"/>
      <c r="T25" s="561"/>
      <c r="U25" s="199"/>
      <c r="V25" s="199"/>
    </row>
    <row r="26" spans="1:32" ht="15" customHeight="1" x14ac:dyDescent="0.2">
      <c r="A26" s="32"/>
      <c r="B26" s="630"/>
      <c r="C26" s="627"/>
      <c r="D26" s="627"/>
      <c r="E26" s="627"/>
      <c r="F26" s="627"/>
      <c r="G26" s="627"/>
      <c r="H26" s="627"/>
      <c r="I26" s="627"/>
      <c r="J26" s="627"/>
      <c r="K26" s="627"/>
      <c r="L26" s="626"/>
      <c r="M26" s="626"/>
      <c r="N26" s="626"/>
      <c r="O26" s="630"/>
      <c r="AC26" s="358"/>
    </row>
    <row r="27" spans="1:32" ht="18" customHeight="1" x14ac:dyDescent="0.25">
      <c r="A27" s="635" t="s">
        <v>511</v>
      </c>
      <c r="C27" s="1114" t="str">
        <f>IF(Report!C24="","",Report!C24)</f>
        <v/>
      </c>
      <c r="D27" s="1115"/>
      <c r="E27" s="1115"/>
      <c r="AC27" s="359"/>
    </row>
    <row r="28" spans="1:32" ht="19.5" customHeight="1" x14ac:dyDescent="0.2">
      <c r="Q28" s="148" t="s">
        <v>512</v>
      </c>
      <c r="R28" s="104"/>
      <c r="S28" s="104"/>
      <c r="T28" s="104"/>
      <c r="U28" s="104"/>
      <c r="V28" s="104"/>
      <c r="AC28" s="58"/>
    </row>
    <row r="29" spans="1:32" ht="18" customHeight="1" x14ac:dyDescent="0.25">
      <c r="C29" s="94" t="s">
        <v>660</v>
      </c>
      <c r="D29" s="542"/>
      <c r="E29" s="542"/>
      <c r="F29" s="542"/>
      <c r="G29" s="542"/>
      <c r="H29" s="542"/>
      <c r="I29" s="542"/>
      <c r="J29" s="542"/>
      <c r="K29" s="542"/>
      <c r="L29" s="542"/>
      <c r="M29" s="542"/>
      <c r="N29" s="542"/>
      <c r="O29" s="542"/>
      <c r="Q29" s="523" t="s">
        <v>513</v>
      </c>
      <c r="R29" s="1168" t="str">
        <f>R37</f>
        <v/>
      </c>
      <c r="S29" s="1217"/>
      <c r="T29" s="523"/>
      <c r="U29" s="523"/>
      <c r="V29" s="523"/>
      <c r="AC29" s="58"/>
    </row>
    <row r="30" spans="1:32" ht="15" customHeight="1" x14ac:dyDescent="0.2">
      <c r="C30" s="1146" t="s">
        <v>514</v>
      </c>
      <c r="D30" s="1046"/>
      <c r="E30" s="1147" t="s">
        <v>515</v>
      </c>
      <c r="F30" s="1046"/>
      <c r="G30" s="1046"/>
      <c r="H30" s="1046"/>
      <c r="I30" s="1144" t="s">
        <v>516</v>
      </c>
      <c r="J30" s="1105"/>
      <c r="K30" s="1147" t="s">
        <v>517</v>
      </c>
      <c r="L30" s="1046"/>
      <c r="M30" s="1144" t="s">
        <v>518</v>
      </c>
      <c r="N30" s="1105"/>
      <c r="O30" s="1142" t="s">
        <v>519</v>
      </c>
      <c r="R30" s="1072" t="s">
        <v>520</v>
      </c>
      <c r="S30" s="1074" t="s">
        <v>562</v>
      </c>
      <c r="T30" s="1074" t="s">
        <v>569</v>
      </c>
      <c r="U30" s="1075" t="s">
        <v>521</v>
      </c>
      <c r="V30" s="1077" t="s">
        <v>522</v>
      </c>
      <c r="AC30" s="58"/>
    </row>
    <row r="31" spans="1:32" ht="15" customHeight="1" x14ac:dyDescent="0.2">
      <c r="C31" s="1111"/>
      <c r="D31" s="1103"/>
      <c r="E31" s="1103"/>
      <c r="F31" s="1103"/>
      <c r="G31" s="1103"/>
      <c r="H31" s="1103"/>
      <c r="I31" s="1145"/>
      <c r="J31" s="1145"/>
      <c r="K31" s="1148"/>
      <c r="L31" s="1148"/>
      <c r="M31" s="1145"/>
      <c r="N31" s="1145"/>
      <c r="O31" s="1143"/>
      <c r="R31" s="1199"/>
      <c r="S31" s="1199"/>
      <c r="T31" s="1073"/>
      <c r="U31" s="1076"/>
      <c r="V31" s="1076"/>
    </row>
    <row r="32" spans="1:32" ht="15" customHeight="1" x14ac:dyDescent="0.2">
      <c r="C32" s="1094">
        <v>1</v>
      </c>
      <c r="D32" s="1103"/>
      <c r="E32" s="1102" t="s">
        <v>523</v>
      </c>
      <c r="F32" s="1103"/>
      <c r="G32" s="1103"/>
      <c r="H32" s="1103"/>
      <c r="I32" s="1089" t="str">
        <f>IF('Plate layout A “LOD_LOQ”'!N8="","",'Plate layout A “LOD_LOQ”'!N8)</f>
        <v/>
      </c>
      <c r="J32" s="1090"/>
      <c r="K32" s="1089" t="str">
        <f>IF('Plate layout A “LOD_LOQ”'!O8="","",'Plate layout A “LOD_LOQ”'!O8)</f>
        <v/>
      </c>
      <c r="L32" s="1090"/>
      <c r="M32" s="1089" t="str">
        <f>IF('Plate layout A “LOD_LOQ”'!P8="","",'Plate layout A “LOD_LOQ”'!P8)</f>
        <v/>
      </c>
      <c r="N32" s="1090"/>
      <c r="O32" s="672" t="str">
        <f>IF('Plate layout A “LOD_LOQ”'!Q8="","",'Plate layout A “LOD_LOQ”'!Q8)</f>
        <v/>
      </c>
      <c r="Q32" s="176">
        <f>Report!J29</f>
        <v>0</v>
      </c>
      <c r="R32" s="346">
        <f>'Plate layout A “LOD_LOQ”'!B24</f>
        <v>0</v>
      </c>
      <c r="S32" s="346">
        <f>'Plate layout A “LOD_LOQ”'!C24</f>
        <v>0</v>
      </c>
      <c r="T32" s="700">
        <f>R32/1000*S$47/S40</f>
        <v>0</v>
      </c>
      <c r="U32" s="347" t="e">
        <f>T32*100/S32</f>
        <v>#DIV/0!</v>
      </c>
      <c r="V32" s="348" t="e">
        <f>100-U32</f>
        <v>#DIV/0!</v>
      </c>
    </row>
    <row r="33" spans="3:29" ht="15" customHeight="1" x14ac:dyDescent="0.2">
      <c r="C33" s="1094"/>
      <c r="D33" s="1103"/>
      <c r="E33" s="1102" t="s">
        <v>524</v>
      </c>
      <c r="F33" s="1103"/>
      <c r="G33" s="1103"/>
      <c r="H33" s="1103"/>
      <c r="I33" s="1089" t="str">
        <f>IF('Plate layout A “LOD_LOQ”'!N9="","",'Plate layout A “LOD_LOQ”'!N9)</f>
        <v/>
      </c>
      <c r="J33" s="1090"/>
      <c r="K33" s="1089" t="str">
        <f>IF('Plate layout A “LOD_LOQ”'!O9="","",'Plate layout A “LOD_LOQ”'!O9)</f>
        <v/>
      </c>
      <c r="L33" s="1090"/>
      <c r="M33" s="1089" t="str">
        <f>IF('Plate layout A “LOD_LOQ”'!P9="","",'Plate layout A “LOD_LOQ”'!P9)</f>
        <v/>
      </c>
      <c r="N33" s="1090"/>
      <c r="O33" s="672" t="str">
        <f>IF('Plate layout A “LOD_LOQ”'!Q9="","",'Plate layout A “LOD_LOQ”'!Q9)</f>
        <v/>
      </c>
      <c r="Q33" s="176">
        <f>Report!K29</f>
        <v>0</v>
      </c>
      <c r="R33" s="346">
        <f>'Plate layout A “LOD_LOQ”'!B25</f>
        <v>0</v>
      </c>
      <c r="S33" s="346">
        <f>'Plate layout A “LOD_LOQ”'!C25</f>
        <v>0</v>
      </c>
      <c r="T33" s="192">
        <f>R33/1000*S$47/S41</f>
        <v>0</v>
      </c>
      <c r="U33" s="347" t="e">
        <f>T33*100/S33</f>
        <v>#DIV/0!</v>
      </c>
      <c r="V33" s="348" t="e">
        <f>100-U33</f>
        <v>#DIV/0!</v>
      </c>
      <c r="AC33" s="146"/>
    </row>
    <row r="34" spans="3:29" ht="15" customHeight="1" x14ac:dyDescent="0.2">
      <c r="C34" s="1094">
        <v>2</v>
      </c>
      <c r="D34" s="1103"/>
      <c r="E34" s="1102" t="s">
        <v>525</v>
      </c>
      <c r="F34" s="1103"/>
      <c r="G34" s="1103"/>
      <c r="H34" s="1103"/>
      <c r="I34" s="1089" t="str">
        <f>IF('Plate layout A “LOD_LOQ”'!N10="","",'Plate layout A “LOD_LOQ”'!N10)</f>
        <v/>
      </c>
      <c r="J34" s="1090"/>
      <c r="K34" s="1089" t="str">
        <f>IF('Plate layout A “LOD_LOQ”'!O10="","",'Plate layout A “LOD_LOQ”'!O10)</f>
        <v/>
      </c>
      <c r="L34" s="1090"/>
      <c r="M34" s="1089" t="str">
        <f>IF('Plate layout A “LOD_LOQ”'!P10="","",'Plate layout A “LOD_LOQ”'!P10)</f>
        <v/>
      </c>
      <c r="N34" s="1090"/>
      <c r="O34" s="1027" t="str">
        <f>IF('Plate layout A “LOD_LOQ”'!Q10="","",'Plate layout A “LOD_LOQ”'!Q10)</f>
        <v/>
      </c>
      <c r="Q34" s="176">
        <f>Report!L29</f>
        <v>0</v>
      </c>
      <c r="R34" s="346">
        <f>'Plate layout A “LOD_LOQ”'!B26</f>
        <v>0</v>
      </c>
      <c r="S34" s="346">
        <f>'Plate layout A “LOD_LOQ”'!C26</f>
        <v>0</v>
      </c>
      <c r="T34" s="192">
        <f>R34/1000*S$47/S42</f>
        <v>0</v>
      </c>
      <c r="U34" s="347" t="e">
        <f>T34*100/S34</f>
        <v>#DIV/0!</v>
      </c>
      <c r="V34" s="348" t="e">
        <f>100-U34</f>
        <v>#DIV/0!</v>
      </c>
      <c r="AC34" s="357"/>
    </row>
    <row r="35" spans="3:29" ht="15" customHeight="1" x14ac:dyDescent="0.2">
      <c r="C35" s="1092">
        <v>3</v>
      </c>
      <c r="D35" s="1046"/>
      <c r="E35" s="1104" t="s">
        <v>568</v>
      </c>
      <c r="F35" s="1105"/>
      <c r="G35" s="1105"/>
      <c r="H35" s="1106"/>
      <c r="I35" s="1092" t="str">
        <f>IF('Plate layout A “LOD_LOQ”'!N11="","",'Plate layout A “LOD_LOQ”'!N11)</f>
        <v/>
      </c>
      <c r="J35" s="1093"/>
      <c r="K35" s="1092" t="str">
        <f>IF('Plate layout A “LOD_LOQ”'!O11="","",'Plate layout A “LOD_LOQ”'!O11)</f>
        <v/>
      </c>
      <c r="L35" s="1093"/>
      <c r="M35" s="1092" t="str">
        <f>IF('Plate layout A “LOD_LOQ”'!P11="","",'Plate layout A “LOD_LOQ”'!P11)</f>
        <v/>
      </c>
      <c r="N35" s="1093"/>
      <c r="O35" s="1176"/>
      <c r="AC35" s="357"/>
    </row>
    <row r="36" spans="3:29" ht="15" customHeight="1" x14ac:dyDescent="0.25">
      <c r="C36" s="1111"/>
      <c r="D36" s="1103"/>
      <c r="E36" s="1107"/>
      <c r="F36" s="1107"/>
      <c r="G36" s="1107"/>
      <c r="H36" s="1108"/>
      <c r="I36" s="1094"/>
      <c r="J36" s="1095"/>
      <c r="K36" s="1094"/>
      <c r="L36" s="1095"/>
      <c r="M36" s="1094"/>
      <c r="N36" s="1095"/>
      <c r="O36" s="1176"/>
      <c r="Q36" s="633" t="s">
        <v>526</v>
      </c>
      <c r="R36" s="104"/>
      <c r="S36" s="104"/>
      <c r="T36" s="104"/>
      <c r="U36" s="104"/>
      <c r="V36" s="104"/>
      <c r="AC36" s="357"/>
    </row>
    <row r="37" spans="3:29" ht="35.25" customHeight="1" thickBot="1" x14ac:dyDescent="0.25">
      <c r="C37" s="1094">
        <v>4</v>
      </c>
      <c r="D37" s="1103"/>
      <c r="E37" s="1102" t="s">
        <v>527</v>
      </c>
      <c r="F37" s="1103"/>
      <c r="G37" s="1103"/>
      <c r="H37" s="1103"/>
      <c r="I37" s="1031" t="str">
        <f>IF('Plate layout A “LOD_LOQ”'!N12="","",'Plate layout A “LOD_LOQ”'!N12)</f>
        <v/>
      </c>
      <c r="J37" s="1091"/>
      <c r="K37" s="1031" t="str">
        <f>IF('Plate layout A “LOD_LOQ”'!O12="","",'Plate layout A “LOD_LOQ”'!O12)</f>
        <v/>
      </c>
      <c r="L37" s="1091"/>
      <c r="M37" s="1031" t="str">
        <f>IF('Plate layout A “LOD_LOQ”'!P12="","",'Plate layout A “LOD_LOQ”'!P12)</f>
        <v/>
      </c>
      <c r="N37" s="1091"/>
      <c r="O37" s="1157"/>
      <c r="Q37" s="523"/>
      <c r="R37" s="794" t="str">
        <f>Report!J25</f>
        <v/>
      </c>
      <c r="S37" s="527"/>
      <c r="T37" s="528" t="s">
        <v>528</v>
      </c>
      <c r="U37" s="529"/>
      <c r="V37" s="529"/>
    </row>
    <row r="38" spans="3:29" ht="43.5" customHeight="1" thickTop="1" thickBot="1" x14ac:dyDescent="0.25">
      <c r="Q38" s="129"/>
      <c r="R38" s="186" t="s">
        <v>529</v>
      </c>
      <c r="S38" s="194" t="s">
        <v>570</v>
      </c>
      <c r="T38" s="460"/>
      <c r="U38" s="479" t="s">
        <v>565</v>
      </c>
      <c r="V38" s="356" t="s">
        <v>530</v>
      </c>
    </row>
    <row r="39" spans="3:29" ht="36.75" customHeight="1" x14ac:dyDescent="0.2">
      <c r="Q39" s="759" t="s">
        <v>639</v>
      </c>
      <c r="R39" s="193">
        <f>Report!J26</f>
        <v>0</v>
      </c>
      <c r="S39" s="188">
        <f>S47/2</f>
        <v>0</v>
      </c>
      <c r="T39" s="427">
        <f>S39*T38</f>
        <v>0</v>
      </c>
      <c r="U39" s="734"/>
      <c r="V39" s="1083"/>
      <c r="W39" s="1084"/>
    </row>
    <row r="40" spans="3:29" ht="16.5" customHeight="1" x14ac:dyDescent="0.2">
      <c r="Q40" s="147" t="s">
        <v>531</v>
      </c>
      <c r="R40" s="386">
        <f>Report!J29</f>
        <v>0</v>
      </c>
      <c r="S40" s="189">
        <f>'Plate layout A “LOD_LOQ”'!C33</f>
        <v>0.25</v>
      </c>
      <c r="T40" s="425">
        <f>S40*T38</f>
        <v>0</v>
      </c>
      <c r="U40" s="743"/>
      <c r="V40" s="187"/>
    </row>
    <row r="41" spans="3:29" ht="15" customHeight="1" x14ac:dyDescent="0.2">
      <c r="Q41" s="147" t="s">
        <v>532</v>
      </c>
      <c r="R41" s="386">
        <f>Report!K29</f>
        <v>0</v>
      </c>
      <c r="S41" s="189">
        <f>'Plate layout A “LOD_LOQ”'!C34</f>
        <v>0.25</v>
      </c>
      <c r="T41" s="425">
        <f>S41*T38</f>
        <v>0</v>
      </c>
      <c r="U41" s="743"/>
    </row>
    <row r="42" spans="3:29" ht="15" customHeight="1" x14ac:dyDescent="0.2">
      <c r="Q42" s="147" t="s">
        <v>533</v>
      </c>
      <c r="R42" s="386">
        <f>Report!L29</f>
        <v>0</v>
      </c>
      <c r="S42" s="189">
        <f>'Plate layout A “LOD_LOQ”'!C35</f>
        <v>0.25</v>
      </c>
      <c r="T42" s="425">
        <f>S42*T38</f>
        <v>0</v>
      </c>
      <c r="U42" s="743"/>
    </row>
    <row r="43" spans="3:29" ht="15" customHeight="1" x14ac:dyDescent="0.3">
      <c r="Q43" s="129"/>
      <c r="R43" s="727" t="s">
        <v>534</v>
      </c>
      <c r="S43" s="182">
        <f>(S47-(SUM(S39:S42,S46)))</f>
        <v>-0.75</v>
      </c>
      <c r="T43" s="139">
        <f>T38*S43</f>
        <v>0</v>
      </c>
    </row>
    <row r="44" spans="3:29" ht="15" customHeight="1" x14ac:dyDescent="0.2">
      <c r="Q44" s="129"/>
      <c r="R44" s="149" t="s">
        <v>535</v>
      </c>
      <c r="S44" s="189">
        <f>SUM(S39:S43)</f>
        <v>0</v>
      </c>
      <c r="T44" s="140">
        <f>T39+T40+T41+T42+T43</f>
        <v>0</v>
      </c>
    </row>
    <row r="45" spans="3:29" ht="14.25" customHeight="1" x14ac:dyDescent="0.2">
      <c r="Q45" s="129"/>
    </row>
    <row r="46" spans="3:29" x14ac:dyDescent="0.2">
      <c r="Q46" s="129"/>
      <c r="R46" s="150" t="s">
        <v>536</v>
      </c>
      <c r="S46" s="141">
        <f>Report!$G$32</f>
        <v>0</v>
      </c>
      <c r="T46" s="144" t="s">
        <v>537</v>
      </c>
      <c r="W46" s="105"/>
      <c r="X46" s="106"/>
      <c r="Y46" s="105"/>
    </row>
    <row r="47" spans="3:29" ht="27" customHeight="1" x14ac:dyDescent="0.2">
      <c r="Q47" s="106"/>
      <c r="R47" s="151" t="s">
        <v>538</v>
      </c>
      <c r="S47" s="190">
        <f>Report!$J$30</f>
        <v>0</v>
      </c>
      <c r="T47" s="144" t="s">
        <v>539</v>
      </c>
    </row>
    <row r="49" spans="17:25" x14ac:dyDescent="0.2">
      <c r="W49" s="104"/>
      <c r="X49" s="104"/>
      <c r="Y49" s="104"/>
    </row>
    <row r="50" spans="17:25" x14ac:dyDescent="0.2">
      <c r="Q50" s="106"/>
      <c r="R50" s="106"/>
      <c r="S50" s="105"/>
      <c r="T50" s="105"/>
      <c r="U50" s="105"/>
      <c r="V50" s="105"/>
      <c r="W50" s="22"/>
      <c r="X50" s="22"/>
      <c r="Y50" s="22"/>
    </row>
    <row r="63" spans="17:25" x14ac:dyDescent="0.2">
      <c r="R63" s="142"/>
      <c r="S63" s="103"/>
      <c r="T63" s="104"/>
    </row>
    <row r="71" ht="29.25" customHeight="1" x14ac:dyDescent="0.2"/>
  </sheetData>
  <sheetProtection password="C5DD" sheet="1" objects="1" scenarios="1" formatCells="0" formatColumns="0" formatRows="0"/>
  <mergeCells count="173">
    <mergeCell ref="R3:R4"/>
    <mergeCell ref="S3:S4"/>
    <mergeCell ref="T3:T4"/>
    <mergeCell ref="R29:S29"/>
    <mergeCell ref="V13:V14"/>
    <mergeCell ref="R10:S10"/>
    <mergeCell ref="R13:R14"/>
    <mergeCell ref="S13:S14"/>
    <mergeCell ref="T13:T14"/>
    <mergeCell ref="R15:R16"/>
    <mergeCell ref="S15:S16"/>
    <mergeCell ref="T15:T16"/>
    <mergeCell ref="U3:U4"/>
    <mergeCell ref="V3:V4"/>
    <mergeCell ref="K6:K8"/>
    <mergeCell ref="C5:G5"/>
    <mergeCell ref="H5:K5"/>
    <mergeCell ref="L6:N8"/>
    <mergeCell ref="L5:O5"/>
    <mergeCell ref="I6:I8"/>
    <mergeCell ref="J6:J8"/>
    <mergeCell ref="H6:H8"/>
    <mergeCell ref="O6:O8"/>
    <mergeCell ref="C6:C8"/>
    <mergeCell ref="D6:D8"/>
    <mergeCell ref="E6:E8"/>
    <mergeCell ref="F6:F8"/>
    <mergeCell ref="G6:G8"/>
    <mergeCell ref="I10:I11"/>
    <mergeCell ref="J10:J11"/>
    <mergeCell ref="K10:K11"/>
    <mergeCell ref="U30:U31"/>
    <mergeCell ref="V30:V31"/>
    <mergeCell ref="T10:T12"/>
    <mergeCell ref="U13:U14"/>
    <mergeCell ref="U15:U16"/>
    <mergeCell ref="K33:L33"/>
    <mergeCell ref="M33:N33"/>
    <mergeCell ref="R30:R31"/>
    <mergeCell ref="S30:S31"/>
    <mergeCell ref="T30:T31"/>
    <mergeCell ref="K32:L32"/>
    <mergeCell ref="M32:N32"/>
    <mergeCell ref="I33:J33"/>
    <mergeCell ref="I32:J32"/>
    <mergeCell ref="M10:M11"/>
    <mergeCell ref="N10:N11"/>
    <mergeCell ref="O10:O11"/>
    <mergeCell ref="I12:I13"/>
    <mergeCell ref="J14:J15"/>
    <mergeCell ref="K14:K15"/>
    <mergeCell ref="J12:J13"/>
    <mergeCell ref="C2:D2"/>
    <mergeCell ref="A10:A15"/>
    <mergeCell ref="B10:B11"/>
    <mergeCell ref="C10:C11"/>
    <mergeCell ref="D10:D11"/>
    <mergeCell ref="E10:E11"/>
    <mergeCell ref="F10:F11"/>
    <mergeCell ref="G10:G11"/>
    <mergeCell ref="H10:H11"/>
    <mergeCell ref="B12:B13"/>
    <mergeCell ref="C12:C13"/>
    <mergeCell ref="D12:D13"/>
    <mergeCell ref="E12:E13"/>
    <mergeCell ref="F12:F13"/>
    <mergeCell ref="G12:G13"/>
    <mergeCell ref="H12:H13"/>
    <mergeCell ref="B14:B15"/>
    <mergeCell ref="C14:C15"/>
    <mergeCell ref="D14:D15"/>
    <mergeCell ref="E14:E15"/>
    <mergeCell ref="F14:F15"/>
    <mergeCell ref="G14:G15"/>
    <mergeCell ref="H14:H15"/>
    <mergeCell ref="K12:K13"/>
    <mergeCell ref="J18:J19"/>
    <mergeCell ref="K18:K19"/>
    <mergeCell ref="L18:L19"/>
    <mergeCell ref="M18:M19"/>
    <mergeCell ref="N18:N19"/>
    <mergeCell ref="O18:O19"/>
    <mergeCell ref="L14:L15"/>
    <mergeCell ref="M14:M15"/>
    <mergeCell ref="J16:J17"/>
    <mergeCell ref="K16:K17"/>
    <mergeCell ref="L16:L17"/>
    <mergeCell ref="M16:M17"/>
    <mergeCell ref="N16:N17"/>
    <mergeCell ref="O12:O13"/>
    <mergeCell ref="O14:O15"/>
    <mergeCell ref="I14:I15"/>
    <mergeCell ref="A18:A23"/>
    <mergeCell ref="B18:B19"/>
    <mergeCell ref="C18:C19"/>
    <mergeCell ref="D18:D19"/>
    <mergeCell ref="E18:E19"/>
    <mergeCell ref="F18:F19"/>
    <mergeCell ref="G18:G19"/>
    <mergeCell ref="H18:H19"/>
    <mergeCell ref="I18:I19"/>
    <mergeCell ref="G20:G21"/>
    <mergeCell ref="H20:H21"/>
    <mergeCell ref="I20:I21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20:J21"/>
    <mergeCell ref="K20:K21"/>
    <mergeCell ref="B20:B21"/>
    <mergeCell ref="C20:C21"/>
    <mergeCell ref="D20:D21"/>
    <mergeCell ref="E20:E21"/>
    <mergeCell ref="F20:F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C34:D34"/>
    <mergeCell ref="E34:H34"/>
    <mergeCell ref="I34:J34"/>
    <mergeCell ref="K34:L34"/>
    <mergeCell ref="M34:N34"/>
    <mergeCell ref="N22:N23"/>
    <mergeCell ref="O22:O23"/>
    <mergeCell ref="C27:E27"/>
    <mergeCell ref="C30:D31"/>
    <mergeCell ref="E30:H31"/>
    <mergeCell ref="I30:J31"/>
    <mergeCell ref="K30:L31"/>
    <mergeCell ref="M30:N31"/>
    <mergeCell ref="O30:O31"/>
    <mergeCell ref="K22:K23"/>
    <mergeCell ref="L22:L23"/>
    <mergeCell ref="M22:M23"/>
    <mergeCell ref="C33:D33"/>
    <mergeCell ref="E33:H33"/>
    <mergeCell ref="E32:H32"/>
    <mergeCell ref="C32:D32"/>
    <mergeCell ref="O34:O37"/>
    <mergeCell ref="C37:D37"/>
    <mergeCell ref="E37:H37"/>
    <mergeCell ref="I37:J37"/>
    <mergeCell ref="K37:L37"/>
    <mergeCell ref="M37:N37"/>
    <mergeCell ref="C35:D36"/>
    <mergeCell ref="E35:H36"/>
    <mergeCell ref="I35:J36"/>
    <mergeCell ref="K35:L36"/>
    <mergeCell ref="M35:N36"/>
    <mergeCell ref="V39:W39"/>
    <mergeCell ref="O20:O21"/>
    <mergeCell ref="V15:W16"/>
    <mergeCell ref="L10:L11"/>
    <mergeCell ref="L12:L13"/>
    <mergeCell ref="M12:M13"/>
    <mergeCell ref="N12:N13"/>
    <mergeCell ref="N14:N15"/>
    <mergeCell ref="L20:L21"/>
    <mergeCell ref="M20:M21"/>
    <mergeCell ref="N20:N21"/>
    <mergeCell ref="O16:O17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&amp;L&amp;A&amp;C&amp;U&amp;F&amp;R&amp;D</oddHeader>
    <oddFooter>&amp;LVersion of 19/05/2016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2AE9B4D15B3438D5A42277AC1E6EF" ma:contentTypeVersion="0" ma:contentTypeDescription="Create a new document." ma:contentTypeScope="" ma:versionID="4a2960ef80ce49f05230b03325f57b7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59D4DB-F43F-47C1-90B7-D6DDF5B66D7E}"/>
</file>

<file path=customXml/itemProps2.xml><?xml version="1.0" encoding="utf-8"?>
<ds:datastoreItem xmlns:ds="http://schemas.openxmlformats.org/officeDocument/2006/customXml" ds:itemID="{77BE3574-2320-4409-A492-28E31A8A01C8}"/>
</file>

<file path=customXml/itemProps3.xml><?xml version="1.0" encoding="utf-8"?>
<ds:datastoreItem xmlns:ds="http://schemas.openxmlformats.org/officeDocument/2006/customXml" ds:itemID="{4D6963F9-67FD-43E6-B663-2A8331D318E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Legend+Explanations</vt:lpstr>
      <vt:lpstr>Report</vt:lpstr>
      <vt:lpstr>Dilution series A</vt:lpstr>
      <vt:lpstr>Dilution series B</vt:lpstr>
      <vt:lpstr>Dilution series C</vt:lpstr>
      <vt:lpstr>Dilution of samples </vt:lpstr>
      <vt:lpstr>Plate layout A “LOD_LOQ”</vt:lpstr>
      <vt:lpstr>Plate layout B “Trueness”</vt:lpstr>
      <vt:lpstr>Plate layout C “Trueness”</vt:lpstr>
      <vt:lpstr>Comments</vt:lpstr>
      <vt:lpstr>Comments!Druckbereich</vt:lpstr>
      <vt:lpstr>'Dilution of samples '!Druckbereich</vt:lpstr>
      <vt:lpstr>'Legend+Explanations'!Druckbereich</vt:lpstr>
      <vt:lpstr>'Plate layout A “LOD_LOQ”'!Druckbereich</vt:lpstr>
      <vt:lpstr>'Plate layout B “Trueness”'!Druckbereich</vt:lpstr>
      <vt:lpstr>'Plate layout C “Trueness”'!Druckbereich</vt:lpstr>
      <vt:lpstr>Report!Druckbereich</vt:lpstr>
    </vt:vector>
  </TitlesOfParts>
  <Company>BVL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Lieske, Kathrin</dc:creator>
  <cp:lastModifiedBy>Lieske, Kathrin</cp:lastModifiedBy>
  <cp:lastPrinted>2016-05-19T11:22:25Z</cp:lastPrinted>
  <dcterms:created xsi:type="dcterms:W3CDTF">2011-11-07T12:54:05Z</dcterms:created>
  <dcterms:modified xsi:type="dcterms:W3CDTF">2016-05-19T12:32:16Z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0x010100C432AE9B4D15B3438D5A42277AC1E6EF</vt:lpwstr>
  </property>
</Properties>
</file>